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fRuKconhQ/YRu+7qrdMXCm7nNLVnQrxe0BJ9ekUJZmWffCNREIdXZ6juEv55i5qk7K3SADygiMrAJS96XgMnA==" workbookSaltValue="ifIhmMHHcWGfiaAWEnBOn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18" i="12"/>
  <c r="EL19" i="8"/>
  <c r="AP12" i="11"/>
  <c r="EN19" i="8"/>
  <c r="G10" i="3"/>
  <c r="BA13" i="16"/>
  <c r="J10" i="2"/>
  <c r="AP10" i="11"/>
  <c r="Y12" i="11"/>
  <c r="T10" i="21"/>
  <c r="D11" i="2"/>
  <c r="ES19" i="8"/>
  <c r="C18" i="7"/>
  <c r="R8" i="9"/>
  <c r="X12" i="21" s="1"/>
  <c r="BM19" i="8"/>
  <c r="AL13" i="16"/>
  <c r="BH9" i="16"/>
  <c r="BJ17" i="11"/>
  <c r="BH15" i="16"/>
  <c r="V11" i="16"/>
  <c r="BF16" i="11"/>
  <c r="BL12" i="11"/>
  <c r="S13" i="16"/>
  <c r="V12" i="21"/>
  <c r="P13" i="16"/>
  <c r="AM13" i="20"/>
  <c r="C11" i="6"/>
  <c r="H13" i="12"/>
  <c r="F13" i="7"/>
  <c r="T13" i="12"/>
  <c r="S9" i="17"/>
  <c r="BI10" i="11"/>
  <c r="S16" i="14"/>
  <c r="V16" i="14" s="1"/>
  <c r="BJ11" i="11"/>
  <c r="BJ12" i="11"/>
  <c r="BG15" i="11"/>
  <c r="BK17" i="11"/>
  <c r="T15" i="16"/>
  <c r="BV17" i="16"/>
  <c r="BV12" i="16"/>
  <c r="BV11" i="16"/>
  <c r="BW11" i="20"/>
  <c r="U10" i="17"/>
  <c r="BW10" i="20"/>
  <c r="BU16" i="17"/>
  <c r="BV9" i="16"/>
  <c r="S12" i="14"/>
  <c r="V12" i="14" s="1"/>
  <c r="AZ12" i="11"/>
  <c r="S11" i="14"/>
  <c r="V11" i="14" s="1"/>
  <c r="T16" i="11"/>
  <c r="BG12" i="11"/>
  <c r="Q17" i="17"/>
  <c r="BH10" i="11"/>
  <c r="BI9" i="11"/>
  <c r="AQ10" i="21"/>
  <c r="T12" i="11"/>
  <c r="BJ10" i="11"/>
  <c r="BH10" i="16"/>
  <c r="BK16" i="11"/>
  <c r="Q15" i="17"/>
  <c r="BH11" i="11"/>
  <c r="BM17" i="11"/>
  <c r="BG16" i="11"/>
  <c r="BF15" i="11"/>
  <c r="T11" i="11"/>
  <c r="S17" i="17"/>
  <c r="BH16" i="11"/>
  <c r="BM9" i="11"/>
  <c r="AQ12" i="21"/>
  <c r="BH12" i="16"/>
  <c r="BJ16" i="11"/>
  <c r="BK10" i="11"/>
  <c r="BL16" i="11"/>
  <c r="BD15" i="8"/>
  <c r="BD9" i="8"/>
  <c r="BA13" i="8"/>
  <c r="L10" i="2"/>
  <c r="AA10" i="16"/>
  <c r="S15" i="17"/>
  <c r="E13" i="17"/>
  <c r="S16" i="17"/>
  <c r="L15"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BM18" i="16" l="1"/>
  <c r="AV18" i="21"/>
  <c r="G18" i="12"/>
  <c r="B17" i="6"/>
  <c r="I19" i="8"/>
  <c r="AW18" i="21"/>
  <c r="AH13" i="16"/>
  <c r="AN12" i="11"/>
  <c r="Z13" i="17"/>
  <c r="AC10" i="11"/>
  <c r="E9" i="6"/>
  <c r="AO9" i="11"/>
  <c r="BF15" i="8"/>
  <c r="BF11" i="8"/>
  <c r="BF9" i="8"/>
  <c r="BG9" i="8"/>
  <c r="K9" i="7" s="1"/>
  <c r="BG12" i="8"/>
  <c r="AO17" i="11"/>
  <c r="AO15" i="11"/>
  <c r="AL16" i="11"/>
  <c r="AB13" i="21"/>
  <c r="AB19" i="21" s="1"/>
  <c r="F15" i="16"/>
  <c r="BL15" i="16" s="1"/>
  <c r="BE12" i="21"/>
  <c r="BE9" i="13"/>
  <c r="AL9" i="11"/>
  <c r="E11" i="6"/>
  <c r="R11" i="14"/>
  <c r="BL10" i="11"/>
  <c r="BL15" i="11"/>
  <c r="BF12" i="11"/>
  <c r="P15" i="17"/>
  <c r="S15" i="16"/>
  <c r="X17" i="17"/>
  <c r="AZ11" i="11"/>
  <c r="X15" i="17"/>
  <c r="AZ16" i="11"/>
  <c r="AA16" i="16"/>
  <c r="BU12" i="17"/>
  <c r="BU17" i="17"/>
  <c r="BV10" i="16"/>
  <c r="BU9" i="17"/>
  <c r="BW15" i="20"/>
  <c r="BW12" i="20"/>
  <c r="BU10" i="17"/>
  <c r="BU11" i="17"/>
  <c r="T17" i="16"/>
  <c r="R17" i="20"/>
  <c r="R18" i="20" s="1"/>
  <c r="AP15" i="20"/>
  <c r="R10" i="21"/>
  <c r="R13" i="21" s="1"/>
  <c r="V9" i="11"/>
  <c r="Q10" i="21"/>
  <c r="V11" i="11"/>
  <c r="BK15" i="11"/>
  <c r="S17" i="16"/>
  <c r="BF17" i="11"/>
  <c r="Q17" i="20"/>
  <c r="Q18" i="20" s="1"/>
  <c r="BH15" i="11"/>
  <c r="V15" i="11"/>
  <c r="AP16"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<sst xmlns="http://schemas.openxmlformats.org/spreadsheetml/2006/main" count="2094" uniqueCount="913">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</sst>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nXEr65cETd7looVmGmxy8PPwrNBsO9JHH8+RwlN7YhnePaLR5G4N2XL1WXyjityfBuYKf0VbUlpTBlFl7btkg==" saltValue="r5jLrpFu69HiN40SXDAl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5</v>
      </c>
      <c r="F10" s="230">
        <f>IF(ISNUMBER(Datos!K10),Datos!K10," - ")</f>
        <v>3</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0.10526315789473684</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92.06849315068493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321</v>
      </c>
      <c r="D16" s="229">
        <f>IF(ISNUMBER(IF(D_I="SI",Datos!I16,Datos!I16+Datos!AC16)),IF(D_I="SI",Datos!I16,Datos!I16+Datos!AC16)," - ")</f>
        <v>321</v>
      </c>
      <c r="E16" s="230">
        <f>IF(ISNUMBER(IF(D_I="SI",Datos!J16,Datos!J16+Datos!AD16)),IF(D_I="SI",Datos!J16,Datos!J16+Datos!AD16)," - ")</f>
        <v>246</v>
      </c>
      <c r="F16" s="230">
        <f>IF(ISNUMBER(IF(D_I="SI",Datos!K16,Datos!K16+Datos!AE16)),IF(D_I="SI",Datos!K16,Datos!K16+Datos!AE16)," - ")</f>
        <v>261</v>
      </c>
      <c r="G16" s="1189" t="str">
        <f>IF(Datos!E16&lt;&gt;"",Datos!E16,Datos!D16)</f>
        <v>04</v>
      </c>
      <c r="H16" s="231">
        <f>IF(ISNUMBER(IF(D_I="SI",Datos!L16,Datos!L16+Datos!AF16)),IF(D_I="SI",Datos!L16,Datos!L16+Datos!AF16)," - ")</f>
        <v>306</v>
      </c>
      <c r="I16" s="1199" t="str">
        <f>IF(ISNUMBER(Datos!AS16/Datos!BM16),Datos!AS16/Datos!BM16," - ")</f>
        <v xml:space="preserve"> - </v>
      </c>
      <c r="J16" s="1200">
        <f>IF(ISNUMBER(Datos!BY16/Datos!CN16),Datos!BY16/Datos!CN16," - ")</f>
        <v>0</v>
      </c>
      <c r="K16" s="234">
        <f t="shared" si="3"/>
        <v>-4.6728971962616821E-2</v>
      </c>
      <c r="L16" s="1201">
        <f>IF(ISNUMBER(NºAsuntos!I16/NºAsuntos!G16),(NºAsuntos!I16/NºAsuntos!G16)*11," - ")</f>
        <v>12.896551724137931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29</v>
      </c>
      <c r="F17" s="230">
        <f>IF(ISNUMBER(IF(D_I="SI",Datos!K17,Datos!K17+Datos!AE17)),IF(D_I="SI",Datos!K17,Datos!K17+Datos!AE17)," - ")</f>
        <v>23</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0.46153846153846156</v>
      </c>
      <c r="L17" s="1201">
        <f>IF(ISNUMBER(NºAsuntos!I17/NºAsuntos!G17),(NºAsuntos!I17/NºAsuntos!G17)*11," - ")</f>
        <v>9.0869565217391308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334</v>
      </c>
      <c r="D18" s="1206">
        <f>SUBTOTAL(9,D15:D17)</f>
        <v>334</v>
      </c>
      <c r="E18" s="1207">
        <f>SUBTOTAL(9,E15:E17)</f>
        <v>275</v>
      </c>
      <c r="F18" s="1207">
        <f>SUBTOTAL(9,F15:F17)</f>
        <v>284</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353</v>
      </c>
      <c r="D19" s="1228">
        <f>SUBTOTAL(9,D9:D18)</f>
        <v>353</v>
      </c>
      <c r="E19" s="1229">
        <f>SUBTOTAL(9,E9:E18)</f>
        <v>280</v>
      </c>
      <c r="F19" s="1229">
        <f>SUBTOTAL(9,F9:F18)</f>
        <v>287</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bgnqbydUoElZpSZM9GEvos6gF68U8c4aNSxB05/rfjxmvI39aAlTnzeKS+8Dx2Xnfm8aU22wlsoXGNpDwXl/g==" saltValue="wJ9EY3uPTEK06qIaSvpC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8dS9+2CFBN0EvClvL0FCtDvcPE/B9TuHEV3Vy2DtlFmgMq8/gxe8+AGMuYM0DLqorHESLHAHc+4Jqs3KZ7sFQ==" saltValue="OEPE+SCJcffesPnvHEhC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5</v>
      </c>
      <c r="K10" s="185">
        <v>3</v>
      </c>
      <c r="L10" s="185">
        <v>21</v>
      </c>
      <c r="M10" s="185">
        <v>2</v>
      </c>
      <c r="N10" s="185">
        <v>1</v>
      </c>
      <c r="O10" s="185">
        <v>0</v>
      </c>
      <c r="P10" s="185">
        <v>0</v>
      </c>
      <c r="Q10" s="185">
        <v>0</v>
      </c>
      <c r="R10" s="185">
        <v>0</v>
      </c>
      <c r="S10" s="185">
        <v>14</v>
      </c>
      <c r="T10" s="185">
        <v>4</v>
      </c>
      <c r="U10" s="185">
        <v>3</v>
      </c>
      <c r="V10" s="185">
        <v>15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4</v>
      </c>
      <c r="BA10" s="130">
        <f t="shared" si="0"/>
        <v>3</v>
      </c>
      <c r="BB10" s="130">
        <f t="shared" si="0"/>
        <v>15</v>
      </c>
      <c r="BC10" s="126">
        <f t="shared" si="0"/>
        <v>1</v>
      </c>
      <c r="BD10" s="127">
        <f>IF(ISNUMBER(BA10/AZ10),BA10/AZ10," - ")</f>
        <v>0.75</v>
      </c>
      <c r="BE10" s="128">
        <f>IF(ISNUMBER(BB10/BA10),BB10/BA10, " - ")</f>
        <v>5</v>
      </c>
      <c r="BF10" s="128">
        <f>IF(ISNUMBER(BC10/BA10),BC10/BA10, " - ")</f>
        <v>0.33333333333333331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966</v>
      </c>
      <c r="J12" s="187">
        <v>342</v>
      </c>
      <c r="K12" s="187">
        <v>135</v>
      </c>
      <c r="L12" s="187">
        <v>1173</v>
      </c>
      <c r="M12" s="187">
        <v>34</v>
      </c>
      <c r="N12" s="187">
        <v>55</v>
      </c>
      <c r="O12" s="185">
        <v>89</v>
      </c>
      <c r="P12" s="187">
        <v>40</v>
      </c>
      <c r="Q12" s="187">
        <v>106</v>
      </c>
      <c r="R12" s="187">
        <v>1132</v>
      </c>
      <c r="S12" s="187">
        <v>790</v>
      </c>
      <c r="T12" s="187">
        <v>220</v>
      </c>
      <c r="U12" s="187">
        <v>214</v>
      </c>
      <c r="V12" s="187">
        <v>796</v>
      </c>
      <c r="W12" s="187">
        <v>29</v>
      </c>
      <c r="X12" s="193">
        <v>78</v>
      </c>
      <c r="Y12" s="195">
        <v>47</v>
      </c>
      <c r="Z12" s="185">
        <v>13</v>
      </c>
      <c r="AA12" s="185">
        <v>11</v>
      </c>
      <c r="AB12" s="185">
        <v>49</v>
      </c>
      <c r="AC12" s="187">
        <v>0</v>
      </c>
      <c r="AD12" s="187">
        <v>0</v>
      </c>
      <c r="AE12" s="187">
        <v>0</v>
      </c>
      <c r="AF12" s="193">
        <v>0</v>
      </c>
      <c r="AG12" s="206">
        <v>63</v>
      </c>
      <c r="AH12" s="187">
        <v>12</v>
      </c>
      <c r="AI12" s="187">
        <v>16</v>
      </c>
      <c r="AJ12" s="207">
        <v>59</v>
      </c>
      <c r="AK12" s="186">
        <v>0</v>
      </c>
      <c r="AL12" s="187">
        <v>0</v>
      </c>
      <c r="AM12" s="187">
        <v>0</v>
      </c>
      <c r="AN12" s="193">
        <v>0</v>
      </c>
      <c r="AO12" s="263">
        <v>1</v>
      </c>
      <c r="AP12" s="159">
        <v>1</v>
      </c>
      <c r="AQ12" s="159">
        <v>1</v>
      </c>
      <c r="AR12" s="158">
        <v>1</v>
      </c>
      <c r="AS12" s="349" t="s">
        <v>811</v>
      </c>
      <c r="AT12" s="207"/>
      <c r="AU12" s="206"/>
      <c r="AV12" s="207"/>
      <c r="AW12" s="206"/>
      <c r="AX12" s="207"/>
      <c r="AY12" s="127">
        <f t="shared" si="1"/>
        <v>853</v>
      </c>
      <c r="AZ12" s="128">
        <f t="shared" si="1"/>
        <v>232</v>
      </c>
      <c r="BA12" s="128">
        <f t="shared" si="1"/>
        <v>230</v>
      </c>
      <c r="BB12" s="128">
        <f t="shared" si="1"/>
        <v>855</v>
      </c>
      <c r="BC12" s="126">
        <f>IF(ISNUMBER(X12),X12," - ")</f>
        <v>78</v>
      </c>
      <c r="BD12" s="127">
        <f t="shared" si="2"/>
        <v>0.99137931034482762</v>
      </c>
      <c r="BE12" s="128">
        <f t="shared" si="3"/>
        <v>3.7173913043478262</v>
      </c>
      <c r="BF12" s="128">
        <f t="shared" si="4"/>
        <v>0.33913043478260868</v>
      </c>
      <c r="BG12" s="200">
        <f t="shared" si="5"/>
        <v>4.7173913043478262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985</v>
      </c>
      <c r="J13" s="188">
        <f t="shared" si="6"/>
        <v>347</v>
      </c>
      <c r="K13" s="188">
        <f t="shared" si="6"/>
        <v>138</v>
      </c>
      <c r="L13" s="188">
        <f t="shared" si="6"/>
        <v>1194</v>
      </c>
      <c r="M13" s="188">
        <f t="shared" si="6"/>
        <v>36</v>
      </c>
      <c r="N13" s="188">
        <f t="shared" si="6"/>
        <v>56</v>
      </c>
      <c r="O13" s="188">
        <f t="shared" si="6"/>
        <v>89</v>
      </c>
      <c r="P13" s="188">
        <f t="shared" si="6"/>
        <v>40</v>
      </c>
      <c r="Q13" s="188">
        <f t="shared" si="6"/>
        <v>106</v>
      </c>
      <c r="R13" s="188">
        <f t="shared" si="6"/>
        <v>1132</v>
      </c>
      <c r="S13" s="188">
        <f t="shared" si="6"/>
        <v>804</v>
      </c>
      <c r="T13" s="188">
        <f t="shared" si="6"/>
        <v>224</v>
      </c>
      <c r="U13" s="188">
        <f t="shared" si="6"/>
        <v>217</v>
      </c>
      <c r="V13" s="188">
        <f t="shared" si="6"/>
        <v>811</v>
      </c>
      <c r="W13" s="188">
        <f t="shared" si="6"/>
        <v>30</v>
      </c>
      <c r="X13" s="188">
        <f t="shared" si="6"/>
        <v>78</v>
      </c>
      <c r="Y13" s="188">
        <f t="shared" si="6"/>
        <v>47</v>
      </c>
      <c r="Z13" s="188">
        <f t="shared" si="6"/>
        <v>13</v>
      </c>
      <c r="AA13" s="188">
        <f t="shared" si="6"/>
        <v>11</v>
      </c>
      <c r="AB13" s="188">
        <f t="shared" si="6"/>
        <v>49</v>
      </c>
      <c r="AC13" s="188">
        <f t="shared" si="6"/>
        <v>0</v>
      </c>
      <c r="AD13" s="188">
        <f t="shared" si="6"/>
        <v>0</v>
      </c>
      <c r="AE13" s="188">
        <f t="shared" si="6"/>
        <v>0</v>
      </c>
      <c r="AF13" s="188">
        <f>SUBTOTAL(9,AF9:AF12)</f>
        <v>0</v>
      </c>
      <c r="AG13" s="188">
        <f t="shared" ref="AG13:AT13" si="7">SUBTOTAL(9,AG8:AG12)</f>
        <v>63</v>
      </c>
      <c r="AH13" s="188">
        <f t="shared" si="7"/>
        <v>12</v>
      </c>
      <c r="AI13" s="188">
        <f t="shared" si="7"/>
        <v>16</v>
      </c>
      <c r="AJ13" s="188">
        <f t="shared" si="7"/>
        <v>59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867</v>
      </c>
      <c r="AZ13" s="188">
        <f>SUBTOTAL(9,AZ8:AZ12)</f>
        <v>236</v>
      </c>
      <c r="BA13" s="188">
        <f>SUBTOTAL(9,BA8:BA12)</f>
        <v>233</v>
      </c>
      <c r="BB13" s="188">
        <f>SUBTOTAL(9,BB8:BB12)</f>
        <v>870</v>
      </c>
      <c r="BC13" s="188">
        <f>SUBTOTAL(9,BC8:BC12)</f>
        <v>79</v>
      </c>
      <c r="BD13" s="209">
        <f>IF(ISNUMBER(BA13/AZ13),BA13/AZ13," - ")</f>
        <v>0.98728813559322037</v>
      </c>
      <c r="BE13" s="210">
        <f>IF(ISNUMBER(BB13/BA13),BB13/BA13, " - ")</f>
        <v>3.7339055793991416</v>
      </c>
      <c r="BF13" s="210">
        <f>IF(ISNUMBER(BC13/BA13),BC13/BA13, " - ")</f>
        <v>0.33905579399141633</v>
      </c>
      <c r="BG13" s="211">
        <f>IF(ISNUMBER((AY13+AZ13)/BA13),(AY13+AZ13)/BA13," - ")</f>
        <v>4.733905579399142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321</v>
      </c>
      <c r="J16" s="187">
        <v>246</v>
      </c>
      <c r="K16" s="187">
        <v>261</v>
      </c>
      <c r="L16" s="187">
        <v>306</v>
      </c>
      <c r="M16" s="187">
        <v>29</v>
      </c>
      <c r="N16" s="187">
        <v>159</v>
      </c>
      <c r="O16" s="185">
        <v>4</v>
      </c>
      <c r="P16" s="187">
        <v>10</v>
      </c>
      <c r="Q16" s="187">
        <v>6</v>
      </c>
      <c r="R16" s="187">
        <v>32</v>
      </c>
      <c r="S16" s="187">
        <v>159</v>
      </c>
      <c r="T16" s="187">
        <v>190</v>
      </c>
      <c r="U16" s="187">
        <v>148</v>
      </c>
      <c r="V16" s="187">
        <v>201</v>
      </c>
      <c r="W16" s="187">
        <v>18</v>
      </c>
      <c r="X16" s="193">
        <v>80</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0</v>
      </c>
      <c r="AN16" s="193">
        <v>1</v>
      </c>
      <c r="AO16" s="263">
        <v>1</v>
      </c>
      <c r="AP16" s="159">
        <v>1</v>
      </c>
      <c r="AQ16" s="159">
        <v>1</v>
      </c>
      <c r="AR16" s="159">
        <v>1</v>
      </c>
      <c r="AS16" s="349" t="s">
        <v>491</v>
      </c>
      <c r="AT16" s="207"/>
      <c r="AU16" s="206"/>
      <c r="AV16" s="207"/>
      <c r="AW16" s="206"/>
      <c r="AX16" s="207"/>
      <c r="AY16" s="127">
        <f t="shared" si="9"/>
        <v>159</v>
      </c>
      <c r="AZ16" s="128">
        <f t="shared" si="9"/>
        <v>190</v>
      </c>
      <c r="BA16" s="128">
        <f t="shared" si="9"/>
        <v>148</v>
      </c>
      <c r="BB16" s="128">
        <f t="shared" si="9"/>
        <v>201</v>
      </c>
      <c r="BC16" s="126">
        <f>IF(ISNUMBER(W16),W16," - ")</f>
        <v>18</v>
      </c>
      <c r="BD16" s="127">
        <f t="shared" ref="BD16" si="11">IF(ISNUMBER(BA16/AZ16),BA16/AZ16," - ")</f>
        <v>0.77894736842105261</v>
      </c>
      <c r="BE16" s="128">
        <f t="shared" ref="BE16" si="12">IF(ISNUMBER(BB16/BA16),BB16/BA16, " - ")</f>
        <v>1.3581081081081081</v>
      </c>
      <c r="BF16" s="128">
        <f t="shared" ref="BF16" si="13">IF(ISNUMBER(BC16/BA16),BC16/BA16, " - ")</f>
        <v>0.12162162162162163</v>
      </c>
      <c r="BG16" s="200">
        <f t="shared" si="10"/>
        <v>2.3581081081081079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29</v>
      </c>
      <c r="K17" s="187">
        <v>23</v>
      </c>
      <c r="L17" s="187">
        <v>19</v>
      </c>
      <c r="M17" s="187">
        <v>6</v>
      </c>
      <c r="N17" s="187">
        <v>16</v>
      </c>
      <c r="O17" s="187">
        <v>0</v>
      </c>
      <c r="P17" s="187">
        <v>2</v>
      </c>
      <c r="Q17" s="187">
        <v>0</v>
      </c>
      <c r="R17" s="187">
        <v>2</v>
      </c>
      <c r="S17" s="187">
        <v>11</v>
      </c>
      <c r="T17" s="187">
        <v>15</v>
      </c>
      <c r="U17" s="187">
        <v>15</v>
      </c>
      <c r="V17" s="187">
        <v>11</v>
      </c>
      <c r="W17" s="187">
        <v>4</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15</v>
      </c>
      <c r="BA17" s="130">
        <f t="shared" si="14"/>
        <v>15</v>
      </c>
      <c r="BB17" s="130">
        <f t="shared" si="14"/>
        <v>11</v>
      </c>
      <c r="BC17" s="126">
        <f>IF(ISNUMBER(W17),W17," - ")</f>
        <v>4</v>
      </c>
      <c r="BD17" s="127">
        <f>IF(ISNUMBER(BA17/AZ17),BA17/AZ17," - ")</f>
        <v>1</v>
      </c>
      <c r="BE17" s="128">
        <f>IF(ISNUMBER(BB17/BA17),BB17/BA17, " - ")</f>
        <v>0.73333333333333328</v>
      </c>
      <c r="BF17" s="128">
        <f>IF(ISNUMBER(BC17/BA17),BC17/BA17, " - ")</f>
        <v>0.26666666666666666</v>
      </c>
      <c r="BG17" s="200">
        <f>IF(ISNUMBER((AY17+AZ17)/BA17),(AY17+AZ17)/BA17," - ")</f>
        <v>1.7333333333333334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334</v>
      </c>
      <c r="J18" s="188">
        <f t="shared" si="15"/>
        <v>275</v>
      </c>
      <c r="K18" s="188">
        <f t="shared" si="15"/>
        <v>284</v>
      </c>
      <c r="L18" s="188">
        <f t="shared" si="15"/>
        <v>325</v>
      </c>
      <c r="M18" s="188">
        <f t="shared" si="15"/>
        <v>35</v>
      </c>
      <c r="N18" s="188">
        <f t="shared" si="15"/>
        <v>175</v>
      </c>
      <c r="O18" s="188">
        <f t="shared" si="15"/>
        <v>4</v>
      </c>
      <c r="P18" s="188">
        <f t="shared" si="15"/>
        <v>12</v>
      </c>
      <c r="Q18" s="188">
        <f t="shared" si="15"/>
        <v>6</v>
      </c>
      <c r="R18" s="188">
        <f t="shared" si="15"/>
        <v>34</v>
      </c>
      <c r="S18" s="188">
        <f t="shared" si="15"/>
        <v>170</v>
      </c>
      <c r="T18" s="188">
        <f t="shared" si="15"/>
        <v>205</v>
      </c>
      <c r="U18" s="188">
        <f t="shared" si="15"/>
        <v>163</v>
      </c>
      <c r="V18" s="188">
        <f t="shared" si="15"/>
        <v>212</v>
      </c>
      <c r="W18" s="188">
        <f t="shared" si="15"/>
        <v>22</v>
      </c>
      <c r="X18" s="188">
        <f t="shared" si="15"/>
        <v>90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170</v>
      </c>
      <c r="AZ18" s="188">
        <f>SUBTOTAL(9,AZ14:AZ17)</f>
        <v>205</v>
      </c>
      <c r="BA18" s="188">
        <f>SUBTOTAL(9,BA14:BA17)</f>
        <v>163</v>
      </c>
      <c r="BB18" s="188">
        <f>SUBTOTAL(9,BB14:BB17)</f>
        <v>212</v>
      </c>
      <c r="BC18" s="188">
        <f>SUBTOTAL(9,BC14:BC17)</f>
        <v>22</v>
      </c>
      <c r="BD18" s="209">
        <f>IF(ISNUMBER(BA18/AZ18),BA18/AZ18," - ")</f>
        <v>0.79512195121951224</v>
      </c>
      <c r="BE18" s="210">
        <f>IF(ISNUMBER(BB18/BA18),BB18/BA18, " - ")</f>
        <v>1.3006134969325154</v>
      </c>
      <c r="BF18" s="210">
        <f>IF(ISNUMBER(BC18/BA18),BC18/BA18, " - ")</f>
        <v>0.13496932515337423</v>
      </c>
      <c r="BG18" s="211">
        <f>IF(ISNUMBER((AY18+AZ18)/BA18),(AY18+AZ18)/BA18," - ")</f>
        <v>2.3006134969325154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1319</v>
      </c>
      <c r="J19" s="135">
        <f t="shared" si="18"/>
        <v>622</v>
      </c>
      <c r="K19" s="135">
        <f t="shared" si="18"/>
        <v>422</v>
      </c>
      <c r="L19" s="135">
        <f t="shared" si="18"/>
        <v>1519</v>
      </c>
      <c r="M19" s="135">
        <f t="shared" si="18"/>
        <v>71</v>
      </c>
      <c r="N19" s="135">
        <f t="shared" si="18"/>
        <v>231</v>
      </c>
      <c r="O19" s="135">
        <f t="shared" si="18"/>
        <v>93</v>
      </c>
      <c r="P19" s="135">
        <f t="shared" si="18"/>
        <v>52</v>
      </c>
      <c r="Q19" s="135">
        <f t="shared" si="18"/>
        <v>112</v>
      </c>
      <c r="R19" s="135">
        <f t="shared" si="18"/>
        <v>1166</v>
      </c>
      <c r="S19" s="135">
        <f t="shared" si="18"/>
        <v>974</v>
      </c>
      <c r="T19" s="135">
        <f t="shared" si="18"/>
        <v>429</v>
      </c>
      <c r="U19" s="135">
        <f t="shared" si="18"/>
        <v>380</v>
      </c>
      <c r="V19" s="135">
        <f t="shared" si="18"/>
        <v>1023</v>
      </c>
      <c r="W19" s="135">
        <f t="shared" si="18"/>
        <v>52</v>
      </c>
      <c r="X19" s="135">
        <f t="shared" si="18"/>
        <v>168</v>
      </c>
      <c r="Y19" s="135">
        <f t="shared" si="18"/>
        <v>47</v>
      </c>
      <c r="Z19" s="135">
        <f t="shared" si="18"/>
        <v>13</v>
      </c>
      <c r="AA19" s="135">
        <f t="shared" si="18"/>
        <v>11</v>
      </c>
      <c r="AB19" s="135">
        <f t="shared" si="18"/>
        <v>49</v>
      </c>
      <c r="AC19" s="135">
        <f t="shared" si="18"/>
        <v>0</v>
      </c>
      <c r="AD19" s="135">
        <f t="shared" si="18"/>
        <v>0</v>
      </c>
      <c r="AE19" s="135">
        <f t="shared" si="18"/>
        <v>0</v>
      </c>
      <c r="AF19" s="135">
        <f t="shared" si="18"/>
        <v>0</v>
      </c>
      <c r="AG19" s="135">
        <f t="shared" si="18"/>
        <v>63</v>
      </c>
      <c r="AH19" s="135">
        <f t="shared" si="18"/>
        <v>12</v>
      </c>
      <c r="AI19" s="135">
        <f t="shared" si="18"/>
        <v>16</v>
      </c>
      <c r="AJ19" s="135">
        <f t="shared" si="18"/>
        <v>59</v>
      </c>
      <c r="AK19" s="135">
        <f t="shared" si="18"/>
        <v>1</v>
      </c>
      <c r="AL19" s="135">
        <f t="shared" si="18"/>
        <v>0</v>
      </c>
      <c r="AM19" s="135">
        <f t="shared" si="18"/>
        <v>0</v>
      </c>
      <c r="AN19" s="214">
        <f t="shared" si="18"/>
        <v>1</v>
      </c>
      <c r="AO19" s="215">
        <v>2</v>
      </c>
      <c r="AP19" s="215">
        <v>1</v>
      </c>
      <c r="AQ19" s="215">
        <v>1</v>
      </c>
      <c r="AR19" s="215">
        <v>1</v>
      </c>
      <c r="AS19" s="157">
        <f t="shared" si="18"/>
        <v>0</v>
      </c>
      <c r="AT19" s="157">
        <f t="shared" si="18"/>
        <v>0</v>
      </c>
      <c r="AU19" s="215"/>
      <c r="AV19" s="216"/>
      <c r="AW19" s="215"/>
      <c r="AX19" s="216"/>
      <c r="AY19" s="134">
        <f>SUBTOTAL(9,AY9:AY18)</f>
        <v>1037</v>
      </c>
      <c r="AZ19" s="135">
        <f>SUBTOTAL(9,AZ9:AZ18)</f>
        <v>441</v>
      </c>
      <c r="BA19" s="135">
        <f>SUBTOTAL(9,BA9:BA18)</f>
        <v>396</v>
      </c>
      <c r="BB19" s="135">
        <f>SUBTOTAL(9,BB9:BB18)</f>
        <v>1082</v>
      </c>
      <c r="BC19" s="136">
        <f>SUBTOTAL(9,BC9:BC18)</f>
        <v>101</v>
      </c>
      <c r="BD19" s="217">
        <f>IF(ISNUMBER(BA19/AZ19),BA19/AZ19," - ")</f>
        <v>0.89795918367346939</v>
      </c>
      <c r="BE19" s="214">
        <f>IF(ISNUMBER(BB19/BA19),BB19/BA19, " - ")</f>
        <v>2.7323232323232323</v>
      </c>
      <c r="BF19" s="214">
        <f>IF(ISNUMBER(BC19/BA19),BC19/BA19, " - ")</f>
        <v>0.25505050505050503</v>
      </c>
      <c r="BG19" s="136">
        <f>IF(ISNUMBER((AY19+AZ19)/BA19),(AY19+AZ19)/BA19," - ")</f>
        <v>3.7323232323232323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6ku2cV34UsJlafPcSq4wGDf0o8C1ykyptwBqSTP+bqBqb4rxUnHVwGEXmtI3LwkzNhY9NYgCjPecfQmZFmjPg==" saltValue="/Wc/SI5dthulUU+0o/mk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aT5RZCySdVRM/vCanCK/+Hu4HgwE46J71fOLvfTC3/zVTlkQ7BBQFuOKPup19bC+8wW9MumteOvcUfG31NonA==" saltValue="yU86AidcEYGUSAQALSJG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OLIVENZA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49</v>
      </c>
      <c r="AI12" s="503" t="str">
        <f>IF(ISNUMBER(Datos!CD12),Datos!CD12,"-")</f>
        <v>-</v>
      </c>
      <c r="AJ12" s="503" t="str">
        <f>IF(ISNUMBER(Datos!EN12),Datos!EN12," - ")</f>
        <v xml:space="preserve"> - </v>
      </c>
      <c r="AK12" s="503"/>
      <c r="AL12" s="504"/>
      <c r="AM12" s="671">
        <f>IF(ISNUMBER(Datos!R12),Datos!R12," - ")</f>
        <v>1132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34</v>
      </c>
      <c r="BD12" s="619">
        <f>IF(ISNUMBER(Datos!N12),Datos!N12," - ")</f>
        <v>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0.41126760563380282</v>
      </c>
      <c r="BH12" s="669">
        <f>IF(ISNUMBER(((IF(J_V="SI",Datos!L12/Datos!K12,(Datos!L12+Datos!AB12)/(Datos!K12+Datos!AA12)))*11)/factor_trimestre),((IF(J_V="SI",Datos!L12/Datos!K12,(Datos!L12+Datos!AB12)/(Datos!K12+Datos!AA12)))*11)/factor_trimestre," - ")</f>
        <v>16.739726027397261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-5.5091819699499167E-2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106</v>
      </c>
      <c r="AD13" s="1045">
        <f t="shared" si="1"/>
        <v>0</v>
      </c>
      <c r="AE13" s="1045">
        <f t="shared" si="1"/>
        <v>0</v>
      </c>
      <c r="AF13" s="1045">
        <f t="shared" si="1"/>
        <v>21</v>
      </c>
      <c r="AG13" s="1045">
        <f t="shared" si="1"/>
        <v>0</v>
      </c>
      <c r="AH13" s="1045">
        <f t="shared" si="1"/>
        <v>49</v>
      </c>
      <c r="AI13" s="1045">
        <f t="shared" si="1"/>
        <v>0</v>
      </c>
      <c r="AJ13" s="1045">
        <f t="shared" si="1"/>
        <v>0</v>
      </c>
      <c r="AK13" s="1045">
        <f t="shared" si="1"/>
        <v>0</v>
      </c>
      <c r="AL13" s="1045">
        <f t="shared" si="1"/>
        <v>0</v>
      </c>
      <c r="AM13" s="1045">
        <f t="shared" si="1"/>
        <v>1132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v>
      </c>
      <c r="BD13" s="1045">
        <f t="shared" si="1"/>
        <v>56</v>
      </c>
      <c r="BE13" s="1045">
        <f t="shared" si="1"/>
        <v>0</v>
      </c>
      <c r="BF13" s="1045">
        <f t="shared" si="1"/>
        <v>0</v>
      </c>
      <c r="BG13" s="1045">
        <f>IF(ISNUMBER(Datos!K13/Datos!J13),Datos!K13/Datos!J13," - ")</f>
        <v>0.39769452449567722</v>
      </c>
      <c r="BH13" s="1049">
        <f>IF(ISNUMBER(((Datos!L13/Datos!K13)*11)/factor_trimestre),((Datos!L13/Datos!K13)*11)/factor_trimestre," - ")</f>
        <v>17.304347826086957</v>
      </c>
      <c r="BI13" s="1045">
        <f>IF(ISNUMBER('Resol  Asuntos'!D13/NºAsuntos!G13),'Resol  Asuntos'!D13/NºAsuntos!G13," - ")</f>
        <v>0.24161073825503357</v>
      </c>
      <c r="BJ13" s="1045" t="str">
        <f>IF(ISNUMBER(Datos!CI13/Datos!CJ13),Datos!CI13/Datos!CJ13," - ")</f>
        <v xml:space="preserve"> - </v>
      </c>
      <c r="BK13" s="1045">
        <f>SUBTOTAL(9,BK8:BK12)</f>
        <v>0</v>
      </c>
      <c r="BL13" s="1045">
        <f>IF(ISNUMBER((I13-AB13+L13)/(F13)),(I13-AB13+L13)/(F13)," - ")</f>
        <v>-0.15789473684210525</v>
      </c>
      <c r="BM13" s="1050">
        <f>SUBTOTAL(9,BM9:BM12)</f>
        <v>-5.5091819699499167E-2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321</v>
      </c>
      <c r="G16" s="650">
        <f>IF(ISNUMBER(IF(D_I="SI",Datos!I16,Datos!I16+Datos!AC16)),IF(D_I="SI",Datos!I16,Datos!I16+Datos!AC16)," - ")</f>
        <v>321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261</v>
      </c>
      <c r="AC16" s="230">
        <f>IF(ISNUMBER(Datos!Q16),Datos!Q16," - ")</f>
        <v>6</v>
      </c>
      <c r="AD16" s="343"/>
      <c r="AE16" s="515"/>
      <c r="AF16" s="648">
        <f>IF(ISNUMBER(IF(D_I="SI",Datos!L16,Datos!L16+Datos!AF16)),IF(D_I="SI",Datos!L16,Datos!L16+Datos!AF16)," - ")</f>
        <v>306</v>
      </c>
      <c r="AG16" s="343"/>
      <c r="AH16" s="343"/>
      <c r="AI16" s="343"/>
      <c r="AJ16" s="503"/>
      <c r="AK16" s="343"/>
      <c r="AL16" s="499"/>
      <c r="AM16" s="344">
        <f>IF(ISNUMBER(Datos!R16),Datos!R16," - ")</f>
        <v>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29</v>
      </c>
      <c r="BD16" s="233">
        <f>IF(ISNUMBER(Datos!N16),Datos!N16," - ")</f>
        <v>159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1.0609756097560976</v>
      </c>
      <c r="BH16" s="669">
        <f>IF(ISNUMBER(((IF(D_I="SI",Datos!L16/Datos!K16,(Datos!L16+Datos!AF16)/(Datos!K16+Datos!AE16)))*11)/factor_trimestre),((IF(D_I="SI",Datos!L16/Datos!K16,(Datos!L16+Datos!AF16)/(Datos!K16+Datos!AE16)))*11)/factor_trimestre," - ")</f>
        <v>2.3448275862068964</v>
      </c>
      <c r="BI16" s="247">
        <f>IF(ISNUMBER('Resol  Asuntos'!D16/NºAsuntos!G16),'Resol  Asuntos'!D16/NºAsuntos!G16," - ")</f>
        <v>0.1111111111111111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19</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0.7931034482758621</v>
      </c>
      <c r="BH17" s="669">
        <f>IF(ISNUMBER(((IF(D_I="SI",Datos!L17/Datos!K17,(Datos!L17+Datos!AF17)/(Datos!K17+Datos!AE17)))*11)/factor_trimestre),((IF(D_I="SI",Datos!L17/Datos!K17,(Datos!L17+Datos!AF17)/(Datos!K17+Datos!AE17)))*11)/factor_trimestre," - ")</f>
        <v>1.6521739130434783</v>
      </c>
      <c r="BI17" s="668">
        <f>IF(ISNUMBER('Resol  Asuntos'!D17/NºAsuntos!G17),'Resol  Asuntos'!D17/NºAsuntos!G17," - ")</f>
        <v>0.2608695652173913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321</v>
      </c>
      <c r="G18" s="1044">
        <f>SUBTOTAL(9,G15:G17)</f>
        <v>334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284</v>
      </c>
      <c r="AC18" s="1045">
        <f t="shared" si="4"/>
        <v>6</v>
      </c>
      <c r="AD18" s="1045">
        <f t="shared" si="4"/>
        <v>0</v>
      </c>
      <c r="AE18" s="1045">
        <f t="shared" si="4"/>
        <v>0</v>
      </c>
      <c r="AF18" s="1045">
        <f t="shared" si="4"/>
        <v>325</v>
      </c>
      <c r="AG18" s="1045">
        <f t="shared" si="4"/>
        <v>0</v>
      </c>
      <c r="AH18" s="1045">
        <f t="shared" si="4"/>
        <v>0</v>
      </c>
      <c r="AI18" s="1045">
        <f t="shared" si="4"/>
        <v>0</v>
      </c>
      <c r="AJ18" s="1045">
        <f t="shared" si="4"/>
        <v>0</v>
      </c>
      <c r="AK18" s="1045">
        <f t="shared" si="4"/>
        <v>0</v>
      </c>
      <c r="AL18" s="1045">
        <f t="shared" si="4"/>
        <v>0</v>
      </c>
      <c r="AM18" s="1045">
        <f t="shared" si="4"/>
        <v>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175</v>
      </c>
      <c r="BE18" s="1045">
        <f t="shared" si="4"/>
        <v>0</v>
      </c>
      <c r="BF18" s="1045">
        <f t="shared" si="4"/>
        <v>0</v>
      </c>
      <c r="BG18" s="1045">
        <f>IF(ISNUMBER(Datos!K18/Datos!J18),Datos!K18/Datos!J18," - ")</f>
        <v>1.0327272727272727</v>
      </c>
      <c r="BH18" s="1049">
        <f>IF(ISNUMBER(((Datos!L18/Datos!K18)*11)/factor_trimestre),((Datos!L18/Datos!K18)*11)/factor_trimestre," - ")</f>
        <v>2.288732394366197</v>
      </c>
      <c r="BI18" s="1045">
        <f>SUBTOTAL(9,BI15:BI17)</f>
        <v>0.3719806763285024</v>
      </c>
      <c r="BJ18" s="1045">
        <f>SUBTOTAL(9,BJ15:BJ17)</f>
        <v>0</v>
      </c>
      <c r="BK18" s="1045">
        <f>SUBTOTAL(9,BK15:BK17)</f>
        <v>0</v>
      </c>
      <c r="BL18" s="1045">
        <f>IF(ISNUMBER((I18-AB18+L18)/(F18)),(I18-AB18+L18)/(F18)," - ")</f>
        <v>-0.88473520249221183</v>
      </c>
      <c r="BM18" s="1051">
        <f>IF(ISNUMBER((Datos!P18-Datos!Q18)/(Datos!R18-Datos!P18+Datos!Q18)),(Datos!P18-Datos!Q18)/(Datos!R18-Datos!P18+Datos!Q18)," - ")</f>
        <v>0.21428571428571427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340</v>
      </c>
      <c r="G19" s="966">
        <f t="shared" si="6"/>
        <v>353</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287</v>
      </c>
      <c r="AC19" s="967">
        <f t="shared" si="7"/>
        <v>112</v>
      </c>
      <c r="AD19" s="967">
        <f t="shared" si="7"/>
        <v>0</v>
      </c>
      <c r="AE19" s="967">
        <f t="shared" si="7"/>
        <v>0</v>
      </c>
      <c r="AF19" s="974">
        <f t="shared" si="7"/>
        <v>346</v>
      </c>
      <c r="AG19" s="974">
        <f t="shared" si="7"/>
        <v>0</v>
      </c>
      <c r="AH19" s="974">
        <f t="shared" si="7"/>
        <v>49</v>
      </c>
      <c r="AI19" s="974">
        <f t="shared" si="7"/>
        <v>0</v>
      </c>
      <c r="AJ19" s="967">
        <f t="shared" si="7"/>
        <v>0</v>
      </c>
      <c r="AK19" s="974">
        <f t="shared" si="7"/>
        <v>0</v>
      </c>
      <c r="AL19" s="974">
        <f t="shared" si="7"/>
        <v>0</v>
      </c>
      <c r="AM19" s="974">
        <f t="shared" si="7"/>
        <v>1166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231</v>
      </c>
      <c r="BE19" s="966">
        <f t="shared" si="7"/>
        <v>0</v>
      </c>
      <c r="BF19" s="976">
        <f t="shared" si="7"/>
        <v>0</v>
      </c>
      <c r="BG19" s="1061">
        <f>IF(ISNUMBER(Datos!K19/Datos!J19),Datos!K19/Datos!J19," - ")</f>
        <v>0.67845659163987138</v>
      </c>
      <c r="BH19" s="1061">
        <f>IF(ISNUMBER(((Datos!L19/Datos!K19)*11)/factor_trimestre),((Datos!L19/Datos!K19)*11)/factor_trimestre," - ")</f>
        <v>7.1990521327014214</v>
      </c>
      <c r="BI19" s="959">
        <f>IF(ISNUMBER(Datos!J19/Datos!I19),Datos!J19/Datos!I19," - ")</f>
        <v>0.47156937073540561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-0.84411764705882353</v>
      </c>
      <c r="BM19" s="1035">
        <f>IF(ISNUMBER((Datos!P19-Datos!Q19+R19)/(Datos!R19-Datos!P19+Datos!Q19-R19)),(Datos!P19-Datos!Q19+R19)/(Datos!R19-Datos!P19+Datos!Q19-R19)," - ")</f>
        <v>-4.8939641109298535E-2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141.19999999999999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174.35978129526697</v>
      </c>
      <c r="G21" s="600">
        <f>IF(ISNUMBER(STDEV(G8:G18)),STDEV(G8:G18),"-")</f>
        <v>170.14758299781988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144.42022019094142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15.4747105519511</v>
      </c>
      <c r="BD21" s="599"/>
      <c r="BE21" s="599">
        <f>IF(ISNUMBER(STDEV(BE8:BE18)),STDEV(BE8:BE18),"-")</f>
        <v>0</v>
      </c>
      <c r="BF21" s="604">
        <f>IF(ISNUMBER(STDEV(BF8:BF18)),STDEV(BF8:BF18),"-")</f>
        <v>0</v>
      </c>
      <c r="BG21" s="914">
        <f>IF(ISNUMBER(STDEV(BG8:BG18)),STDEV(BG8:BG18),"-")</f>
        <v>0.29424665752698165</v>
      </c>
      <c r="BH21" s="918">
        <f>IF(ISNUMBER(STDEV(BH8:BH18)),STDEV(BH8:BH18),"-")</f>
        <v>7.709350217409578</v>
      </c>
      <c r="BI21" s="253">
        <f>IF(ISNUMBER(STDEV(BI8:BI18)),STDEV(BI8:BI18),"-")</f>
        <v>0.10693595415765927</v>
      </c>
      <c r="BJ21" s="234" t="str">
        <f>IF(ISNUMBER(BL21/BM21),BL21/BM21," - ")</f>
        <v xml:space="preserve"> - </v>
      </c>
      <c r="BK21" s="626"/>
      <c r="BL21" s="607">
        <f>IF(ISNUMBER(STDEV(BL8:BL18)),STDEV(BL8:BL18),"-")</f>
        <v>0.51395382210197826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y88BrDumihALVQfeKCUCwrisjIK36C4r1J1BkjoSVPCkmAclre5P/L31lFamRwsAWufyyj3y8cLKQZIFVsE/Q==" saltValue="uQoeShgfbYn1g4+4KLM/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OLIVENZA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106</v>
      </c>
      <c r="AA12" s="505" t="str">
        <f>IF(ISNUMBER(IF(J_V="SI",Datos!L12,Datos!L12+Datos!AB12)-IF(Monitorios="SI",Datos!CD12,0)),
                          IF(J_V="SI",Datos!L12,Datos!L12+Datos!AB12)-IF(Monitorios="SI",Datos!CD12,0),
                          " - ")</f>
        <v xml:space="preserve"> - </v>
      </c>
      <c r="AB12" s="503"/>
      <c r="AC12" s="503"/>
      <c r="AD12" s="516"/>
      <c r="AE12" s="516">
        <f>IF(ISNUMBER(Datos!R12),Datos!R12," - ")</f>
        <v>1132</v>
      </c>
      <c r="AF12" s="619" t="str">
        <f>IF(ISNUMBER(Datos!BV12),Datos!BV12," - ")</f>
        <v xml:space="preserve"> - </v>
      </c>
      <c r="AG12" s="506" t="str">
        <f>IF(ISNUMBER(Datos!DV12),Datos!DV12," - ")</f>
        <v xml:space="preserve"> - </v>
      </c>
      <c r="AH12" s="507"/>
      <c r="AI12" s="508"/>
      <c r="AJ12" s="506">
        <f>IF(ISNUMBER(Datos!M12),Datos!M12," - ")</f>
        <v>34</v>
      </c>
      <c r="AK12" s="619">
        <f>IF(ISNUMBER(Datos!N12),Datos!N12," - ")</f>
        <v>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16.739726027397261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-5.5091819699499167E-2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106</v>
      </c>
      <c r="AA13" s="1046">
        <f t="shared" si="2"/>
        <v>21</v>
      </c>
      <c r="AB13" s="1046">
        <f t="shared" si="2"/>
        <v>0</v>
      </c>
      <c r="AC13" s="1046">
        <f t="shared" si="2"/>
        <v>0</v>
      </c>
      <c r="AD13" s="1046">
        <f t="shared" si="2"/>
        <v>0</v>
      </c>
      <c r="AE13" s="1046">
        <f t="shared" si="2"/>
        <v>1132</v>
      </c>
      <c r="AF13" s="1054">
        <f t="shared" si="2"/>
        <v>0</v>
      </c>
      <c r="AG13" s="1054">
        <f t="shared" si="2"/>
        <v>0</v>
      </c>
      <c r="AH13" s="1054">
        <f t="shared" si="2"/>
        <v>0</v>
      </c>
      <c r="AI13" s="1054">
        <f t="shared" si="2"/>
        <v>0</v>
      </c>
      <c r="AJ13" s="1054">
        <f t="shared" si="2"/>
        <v>36</v>
      </c>
      <c r="AK13" s="1054">
        <f t="shared" si="2"/>
        <v>56</v>
      </c>
      <c r="AL13" s="1054">
        <f t="shared" si="2"/>
        <v>0</v>
      </c>
      <c r="AM13" s="1054">
        <f t="shared" si="2"/>
        <v>0</v>
      </c>
      <c r="AN13" s="1054">
        <f t="shared" si="2"/>
        <v>0</v>
      </c>
      <c r="AO13" s="1050">
        <f>IF(ISNUMBER(((NºAsuntos!I13/NºAsuntos!G13)*11)/factor_trimestre),((NºAsuntos!I13/NºAsuntos!G13)*11)/factor_trimestre," - ")</f>
        <v>16.684563758389263</v>
      </c>
      <c r="AP13" s="1056" t="str">
        <f>IF(ISNUMBER(Datos!CI13/Datos!CJ13),Datos!CI13/Datos!CJ13," - ")</f>
        <v xml:space="preserve"> - </v>
      </c>
      <c r="AQ13" s="1074">
        <f t="shared" ref="AQ13:AV13" si="3">SUBTOTAL(9,AQ9:AQ12)</f>
        <v>0</v>
      </c>
      <c r="AR13" s="1074">
        <f t="shared" si="3"/>
        <v>-5.5091819699499167E-2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321</v>
      </c>
      <c r="G16" s="506">
        <f>IF(ISNUMBER(IF(D_I="SI",Datos!I16,Datos!I16+Datos!AC16)),IF(D_I="SI",Datos!I16,Datos!I16+Datos!AC16)," - ")</f>
        <v>321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261</v>
      </c>
      <c r="Z16" s="703">
        <f>IF(ISNUMBER(Datos!Q16),Datos!Q16," - ")</f>
        <v>6</v>
      </c>
      <c r="AA16" s="505">
        <f>IF(ISNUMBER(IF(D_I="SI",Datos!L16,Datos!L16+Datos!AF16)),IF(D_I="SI",Datos!L16,Datos!L16+Datos!AF16)," - ")</f>
        <v>306</v>
      </c>
      <c r="AB16" s="503"/>
      <c r="AC16" s="503"/>
      <c r="AD16" s="516"/>
      <c r="AE16" s="516">
        <f>IF(ISNUMBER(Datos!R16),Datos!R16," - ")</f>
        <v>32</v>
      </c>
      <c r="AF16" s="619" t="str">
        <f>IF(ISNUMBER(Datos!BV16),Datos!BV16," - ")</f>
        <v xml:space="preserve"> - </v>
      </c>
      <c r="AG16" s="506"/>
      <c r="AH16" s="507"/>
      <c r="AI16" s="508"/>
      <c r="AJ16" s="506">
        <f>IF(ISNUMBER(Datos!M16),Datos!M16," - ")</f>
        <v>29</v>
      </c>
      <c r="AK16" s="619">
        <f>IF(ISNUMBER(Datos!N16),Datos!N16," - ")</f>
        <v>159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2.3448275862068964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19</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6</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1.6521739130434783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321</v>
      </c>
      <c r="G18" s="1044">
        <f>SUBTOTAL(9,G15:G17)</f>
        <v>334</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284</v>
      </c>
      <c r="Z18" s="1078">
        <f t="shared" si="5"/>
        <v>6</v>
      </c>
      <c r="AA18" s="1078">
        <f t="shared" si="5"/>
        <v>325</v>
      </c>
      <c r="AB18" s="1078">
        <f t="shared" si="5"/>
        <v>0</v>
      </c>
      <c r="AC18" s="1078">
        <f t="shared" si="5"/>
        <v>0</v>
      </c>
      <c r="AD18" s="1078">
        <f t="shared" si="5"/>
        <v>0</v>
      </c>
      <c r="AE18" s="1078">
        <f t="shared" si="5"/>
        <v>34</v>
      </c>
      <c r="AF18" s="1078">
        <f t="shared" si="5"/>
        <v>0</v>
      </c>
      <c r="AG18" s="1078">
        <f t="shared" si="5"/>
        <v>0</v>
      </c>
      <c r="AH18" s="1078">
        <f t="shared" si="5"/>
        <v>0</v>
      </c>
      <c r="AI18" s="1078">
        <f t="shared" si="5"/>
        <v>0</v>
      </c>
      <c r="AJ18" s="1078">
        <f t="shared" si="5"/>
        <v>35</v>
      </c>
      <c r="AK18" s="1078">
        <f t="shared" si="5"/>
        <v>175</v>
      </c>
      <c r="AL18" s="1078">
        <f t="shared" si="5"/>
        <v>0</v>
      </c>
      <c r="AM18" s="1078">
        <f t="shared" si="5"/>
        <v>0</v>
      </c>
      <c r="AN18" s="1078">
        <f t="shared" si="5"/>
        <v>0</v>
      </c>
      <c r="AO18" s="1080">
        <f>IF(ISNUMBER(((NºAsuntos!I18/NºAsuntos!G18)*11)/factor_trimestre),((NºAsuntos!I18/NºAsuntos!G18)*11)/factor_trimestre," - ")</f>
        <v>2.288732394366197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340</v>
      </c>
      <c r="G19" s="966">
        <f t="shared" si="7"/>
        <v>353</v>
      </c>
      <c r="H19" s="967">
        <f t="shared" si="7"/>
        <v>0</v>
      </c>
      <c r="I19" s="966">
        <f t="shared" si="7"/>
        <v>0</v>
      </c>
      <c r="J19" s="968">
        <f t="shared" si="7"/>
        <v>0</v>
      </c>
      <c r="K19" s="966">
        <f t="shared" si="7"/>
        <v>0</v>
      </c>
      <c r="L19" s="969">
        <f t="shared" si="7"/>
        <v>0</v>
      </c>
      <c r="M19" s="966">
        <f t="shared" si="7"/>
        <v>0</v>
      </c>
      <c r="N19" s="967">
        <f t="shared" si="7"/>
        <v>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287</v>
      </c>
      <c r="Z19" s="973">
        <f t="shared" si="8"/>
        <v>112</v>
      </c>
      <c r="AA19" s="974">
        <f t="shared" si="8"/>
        <v>346</v>
      </c>
      <c r="AB19" s="974">
        <f t="shared" si="8"/>
        <v>0</v>
      </c>
      <c r="AC19" s="974">
        <f t="shared" si="8"/>
        <v>0</v>
      </c>
      <c r="AD19" s="975">
        <f t="shared" si="8"/>
        <v>0</v>
      </c>
      <c r="AE19" s="975">
        <f t="shared" si="8"/>
        <v>1166</v>
      </c>
      <c r="AF19" s="976">
        <f t="shared" si="8"/>
        <v>0</v>
      </c>
      <c r="AG19" s="977">
        <f t="shared" si="8"/>
        <v>0</v>
      </c>
      <c r="AH19" s="978">
        <f t="shared" si="8"/>
        <v>0</v>
      </c>
      <c r="AI19" s="976">
        <f t="shared" si="8"/>
        <v>0</v>
      </c>
      <c r="AJ19" s="966">
        <f t="shared" si="8"/>
        <v>71</v>
      </c>
      <c r="AK19" s="966">
        <f t="shared" si="8"/>
        <v>231</v>
      </c>
      <c r="AL19" s="966">
        <f t="shared" si="8"/>
        <v>0</v>
      </c>
      <c r="AM19" s="979">
        <f t="shared" si="8"/>
        <v>0</v>
      </c>
      <c r="AN19" s="969">
        <f>IF(ISNUMBER(Datos!K19/Datos!J19),Datos!K19/Datos!J19," - ")</f>
        <v>0.67845659163987138</v>
      </c>
      <c r="AO19" s="969">
        <f>IF(ISNUMBER(FIND("06",Criterios!A8,1)),(IF(ISNUMBER(((Datos!R19/Datos!Q19)*11)/factor_trimestre),((Datos!R19/Datos!Q19)*11)/factor_trimestre," - ")),(IF(ISNUMBER(((Datos!L19/Datos!K19)*11)/factor_trimestre),((Datos!L19/Datos!K19)*11)/factor_trimestre," - ")))</f>
        <v>7.1990521327014214</v>
      </c>
      <c r="AP19" s="980" t="str">
        <f>IF(ISNUMBER(Datos!CI19/Datos!CJ19),Datos!CI19/Datos!CJ19," - ")</f>
        <v xml:space="preserve"> - </v>
      </c>
      <c r="AQ19" s="980">
        <f>IF(OR(ISNUMBER(FIND("01",Criterios!A8,1)),ISNUMBER(FIND("02",Criterios!A8,1)),ISNUMBER(FIND("03",Criterios!A8,1)),ISNUMBER(FIND("04",Criterios!A8,1))),(J19-Y19+K19)/(F19-K19),(I19-Y19+K19)/(F19-K19))</f>
        <v>-0.84411764705882353</v>
      </c>
      <c r="AR19" s="980">
        <f>IF(ISNUMBER((Datos!P19-Datos!Q19+O19)/(Datos!R19-Datos!P19+Datos!Q19-O19)),(Datos!P19-Datos!Q19+O19)/(Datos!R19-Datos!P19+Datos!Q19-O19)," - ")</f>
        <v>-4.8939641109298535E-2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141.19999999999999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174.35978129526697</v>
      </c>
      <c r="G21" s="600">
        <f>IF(ISNUMBER(STDEV(G8:G18)),STDEV(G8:G18),"-")</f>
        <v>170.14758299781988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15.4747105519511</v>
      </c>
      <c r="AK21" s="256"/>
      <c r="AL21" s="256">
        <f>IF(ISNUMBER(STDEV(AL8:AL18)),STDEV(AL8:AL18),"-")</f>
        <v>0</v>
      </c>
      <c r="AM21" s="258">
        <f>IF(ISNUMBER(STDEV(AM8:AM18)),STDEV(AM8:AM18),"-")</f>
        <v>0</v>
      </c>
      <c r="AN21" s="586">
        <f>IF(ISNUMBER(STDEV(AN8:AN18)),STDEV(AN8:AN18),"-")</f>
        <v>0</v>
      </c>
      <c r="AO21" s="587">
        <f>IF(ISNUMBER(STDEV(AO8:AO18)),STDEV(AO8:AO18),"-")</f>
        <v>7.5797736865169041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xn/2sd4Lv7z2fmncKmJrns8ABWIYCDO4jcINGBLyP0jTuP/8ISlFhNJJ8r1BqXBLkIUC5WRAAI/geUAA3CnZg==" saltValue="MgBewIO33TanZPVwYpK/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YCjALLKGRE8fJOaodugYFr3sp8WtHiGJEnuI3rsCQbCbKo64B5TadNIIuTR33gfQ+4F5y2aL3qNR9tvEAFG/g==" saltValue="MBiJB/ehinwYLZ9SxvHW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k9iLpwwTMA7U7e7r2HmVbU5lcNmkQ2jYDoMAjETlB3nhvphyqyGWWBNvyK3x86UZXfY82GPN4X4Txdxwc5hmA==" saltValue="WmlxwmVTL9yKiHQhpfY+U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OLIVENZA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0.24161073825503357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0.17084459142762223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aWVbmXwVHalsGw+DSjirYwkkYJj8PpND7KEhNxG0NQ3kL20RnuI8eZBRUCAqbHcRWIJ8HCxga6bAoEgnJ/Msw==" saltValue="Q7l3XJSmmLSJZJhOuFZR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rQcb/xBXKfHYj0Absi5GwFLB8cAqjc1c2EclMIBqMGkp6bj0wO/JnGxFS9e07hyCZc8XbsOTdDNopJFTi+QXw==" saltValue="1TiDqB9Qgdjj7mUy9h6x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OLIVENZA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5</v>
      </c>
      <c r="F10" s="415">
        <f>IF(ISNUMBER(E10/B10),E10/B10," - ")</f>
        <v>5</v>
      </c>
      <c r="G10" s="414">
        <f>IF(ISNUMBER(Datos!K10),Datos!K10," - ")</f>
        <v>3</v>
      </c>
      <c r="H10" s="415">
        <f>IF(ISNUMBER(G10/B10),G10/B10," - ")</f>
        <v>3</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1013</v>
      </c>
      <c r="D12" s="415">
        <f>IF(ISNUMBER(C12/Datos!BH12),C12/Datos!BH12," - ")</f>
        <v>1013</v>
      </c>
      <c r="E12" s="414">
        <f>IF(ISNUMBER(IF(J_V="SI",Datos!J12,Datos!J12+Datos!Z12)),IF(J_V="SI",Datos!J12,Datos!J12+Datos!Z12)," - ")</f>
        <v>355</v>
      </c>
      <c r="F12" s="415">
        <f>IF(ISNUMBER(E12/B12),E12/B12," - ")</f>
        <v>355</v>
      </c>
      <c r="G12" s="414">
        <f>IF(ISNUMBER(IF(J_V="SI",Datos!K12,Datos!K12+Datos!AA12)),IF(J_V="SI",Datos!K12,Datos!K12+Datos!AA12)," - ")</f>
        <v>146</v>
      </c>
      <c r="H12" s="415">
        <f>IF(ISNUMBER(G12/B12),G12/B12," - ")</f>
        <v>146</v>
      </c>
      <c r="I12" s="414">
        <f>IF(ISNUMBER(IF(J_V="SI",Datos!L12,Datos!L12+Datos!AB12)),IF(J_V="SI",Datos!L12,Datos!L12+Datos!AB12)," - ")</f>
        <v>1222</v>
      </c>
      <c r="J12" s="415">
        <f>IF(ISNUMBER(I12/B12),I12/B12," - ")</f>
        <v>1222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1032</v>
      </c>
      <c r="D13" s="996" t="str">
        <f>IF(ISNUMBER(C13/Datos!BI13),C13/Datos!BI13," - ")</f>
        <v xml:space="preserve"> - </v>
      </c>
      <c r="E13" s="995">
        <f>SUBTOTAL(9,E8:E12)</f>
        <v>360</v>
      </c>
      <c r="F13" s="996">
        <f>IF(ISNUMBER(E13/B13),E13/B13," - ")</f>
        <v>360</v>
      </c>
      <c r="G13" s="995">
        <f>SUBTOTAL(9,G8:G12)</f>
        <v>149</v>
      </c>
      <c r="H13" s="996">
        <f>IF(ISNUMBER(G13/B13),G13/B13," - ")</f>
        <v>149</v>
      </c>
      <c r="I13" s="995">
        <f>SUBTOTAL(9,I8:I12)</f>
        <v>1243</v>
      </c>
      <c r="J13" s="996">
        <f>IF(ISNUMBER(I13/B13),I13/B13," - ")</f>
        <v>1243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321</v>
      </c>
      <c r="D16" s="415">
        <f>IF(ISNUMBER(C16/Datos!BH16),C16/Datos!BH16," - ")</f>
        <v>321</v>
      </c>
      <c r="E16" s="414">
        <f>IF(ISNUMBER(IF(D_I="SI",Datos!J16,Datos!J16+Datos!AD16)),IF(D_I="SI",Datos!J16,Datos!J16+Datos!AD16)," - ")</f>
        <v>246</v>
      </c>
      <c r="F16" s="415">
        <f>IF(ISNUMBER(E16/B16),E16/B16," - ")</f>
        <v>246</v>
      </c>
      <c r="G16" s="414">
        <f>IF(ISNUMBER(IF(D_I="SI",Datos!K16,Datos!K16+Datos!AE16)),IF(D_I="SI",Datos!K16,Datos!K16+Datos!AE16)," - ")</f>
        <v>261</v>
      </c>
      <c r="H16" s="415">
        <f>IF(ISNUMBER(G16/B16),G16/B16," - ")</f>
        <v>261</v>
      </c>
      <c r="I16" s="414">
        <f>IF(ISNUMBER(IF(D_I="SI",Datos!L16,Datos!L16+Datos!AF16)),IF(D_I="SI",Datos!L16,Datos!L16+Datos!AF16)," - ")</f>
        <v>306</v>
      </c>
      <c r="J16" s="415">
        <f>IF(ISNUMBER(I16/B16),I16/B16," - ")</f>
        <v>306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29</v>
      </c>
      <c r="F17" s="415">
        <f>IF(ISNUMBER(E17/B17),E17/B17," - ")</f>
        <v>29</v>
      </c>
      <c r="G17" s="414">
        <f>IF(ISNUMBER(IF(D_I="SI",Datos!K17,Datos!K17+Datos!AE17)),IF(D_I="SI",Datos!K17,Datos!K17+Datos!AE17)," - ")</f>
        <v>23</v>
      </c>
      <c r="H17" s="415">
        <f>IF(ISNUMBER(G17/B17),G17/B17," - ")</f>
        <v>23</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334</v>
      </c>
      <c r="D18" s="996" t="str">
        <f>IF(ISNUMBER(C18/Datos!BI18),C18/Datos!BI18," - ")</f>
        <v xml:space="preserve"> - </v>
      </c>
      <c r="E18" s="995">
        <f>SUBTOTAL(9,E14:E17)</f>
        <v>275</v>
      </c>
      <c r="F18" s="996">
        <f>IF(ISNUMBER(E18/B18),E18/B18," - ")</f>
        <v>275</v>
      </c>
      <c r="G18" s="995">
        <f>SUBTOTAL(9,G14:G17)</f>
        <v>284</v>
      </c>
      <c r="H18" s="996">
        <f>IF(ISNUMBER(G18/B18),G18/B18," - ")</f>
        <v>284</v>
      </c>
      <c r="I18" s="995">
        <f>SUBTOTAL(9,I14:I17)</f>
        <v>325</v>
      </c>
      <c r="J18" s="996">
        <f>IF(ISNUMBER(I18/B18),I18/B18," - ")</f>
        <v>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1366</v>
      </c>
      <c r="D19" s="941" t="str">
        <f>IF(ISNUMBER(C19/Datos!BI19),C19/Datos!BI19," - ")</f>
        <v xml:space="preserve"> - </v>
      </c>
      <c r="E19" s="940">
        <f>SUBTOTAL(9,E9:E18)</f>
        <v>635</v>
      </c>
      <c r="F19" s="941">
        <f>IF(ISNUMBER(E19/B19),E19/B19," - ")</f>
        <v>635</v>
      </c>
      <c r="G19" s="940">
        <f>SUBTOTAL(9,G9:G18)</f>
        <v>433</v>
      </c>
      <c r="H19" s="941">
        <f>IF(ISNUMBER(G19/B19),G19/B19," - ")</f>
        <v>433</v>
      </c>
      <c r="I19" s="940">
        <f>SUBTOTAL(9,I9:I18)</f>
        <v>1568</v>
      </c>
      <c r="J19" s="941">
        <f>IF(ISNUMBER(I19/B19),I19/B19," - ")</f>
        <v>1568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cqwR39Xs9jvIDttDtnr9yVmQ23bdGH2UTZBBGaFdxr7SXuGfQDAZUg5XdaRZqbV7fZOFGSQq/oSRul3OgKB7Q==" saltValue="ih62NE0MH4d/ShSWBfQA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OLIVENZA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34</v>
      </c>
      <c r="AM12" s="810">
        <f>IF(ISNUMBER(Datos!N12+DatosP!N16),Datos!N12+DatosP!N16," - ")</f>
        <v>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16.739726027397261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-5.5091819699499167E-2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106</v>
      </c>
      <c r="AE13" s="1085">
        <f t="shared" si="1"/>
        <v>0</v>
      </c>
      <c r="AF13" s="1085">
        <f t="shared" si="1"/>
        <v>21</v>
      </c>
      <c r="AG13" s="1085">
        <f t="shared" si="1"/>
        <v>0</v>
      </c>
      <c r="AH13" s="1085">
        <f t="shared" si="1"/>
        <v>1132</v>
      </c>
      <c r="AI13" s="1085">
        <f t="shared" si="1"/>
        <v>0</v>
      </c>
      <c r="AJ13" s="1085">
        <f t="shared" si="1"/>
        <v>0</v>
      </c>
      <c r="AK13" s="1085">
        <f t="shared" si="1"/>
        <v>0</v>
      </c>
      <c r="AL13" s="1085">
        <f t="shared" si="1"/>
        <v>36</v>
      </c>
      <c r="AM13" s="1085">
        <f t="shared" si="1"/>
        <v>56</v>
      </c>
      <c r="AN13" s="1085">
        <f t="shared" si="1"/>
        <v>0</v>
      </c>
      <c r="AO13" s="1085">
        <f t="shared" si="1"/>
        <v>0</v>
      </c>
      <c r="AP13" s="1090">
        <f>IF(ISNUMBER(((Datos!L13/Datos!K13)*11)/factor_trimestre),((Datos!L13/Datos!K13)*11)/factor_trimestre," - ")</f>
        <v>17.304347826086957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-0.15789473684210525</v>
      </c>
      <c r="AU13" s="1085" t="str">
        <f>IF(ISNUMBER((DatosP!#REF!-DatosP!#REF!+DatosP!#REF!)/(DatosP!#REF!+DatosP!#REF!-DatosP!#REF!-DatosP!#REF!)),(DatosP!#REF!-DatosP!#REF!+DatosP!#REF!)/(DatosP!#REF!+DatosP!#REF!-DatosP!#REF!-DatosP!#REF!)," - ")</f>
        <v xml:space="preserve"> - </v>
      </c>
      <c r="AV13" s="1091">
        <f>SUBTOTAL(9,AV9:AV12)</f>
        <v>-5.5091819699499167E-2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2.288732394366197</v>
      </c>
      <c r="AQ18" s="1090">
        <f>IF(ISNUMBER(((Datos!M18/Datos!L18)*11)/factor_trimestre),((Datos!M18/Datos!L18)*11)/factor_trimestre," - ")</f>
        <v>0.2153846153846154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0.21428571428571427</v>
      </c>
      <c r="AW18" s="1092">
        <f>IF(ISNUMBER((Datos!Q18-Datos!R18)/(Datos!S18-Datos!Q18+Datos!R18)),(Datos!Q18-Datos!R18)/(Datos!S18-Datos!Q18+Datos!R18)," - ")</f>
        <v>-0.14141414141414141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106</v>
      </c>
      <c r="AE19" s="1103">
        <f t="shared" si="5"/>
        <v>0</v>
      </c>
      <c r="AF19" s="1104">
        <f t="shared" si="5"/>
        <v>21</v>
      </c>
      <c r="AG19" s="1104">
        <f t="shared" si="5"/>
        <v>0</v>
      </c>
      <c r="AH19" s="1104">
        <f t="shared" si="5"/>
        <v>1132</v>
      </c>
      <c r="AI19" s="1104">
        <f t="shared" si="5"/>
        <v>0</v>
      </c>
      <c r="AJ19" s="1105">
        <f t="shared" si="5"/>
        <v>0</v>
      </c>
      <c r="AK19" s="1105">
        <f t="shared" si="5"/>
        <v>0</v>
      </c>
      <c r="AL19" s="1097">
        <f t="shared" si="5"/>
        <v>36</v>
      </c>
      <c r="AM19" s="1097">
        <f t="shared" si="5"/>
        <v>56</v>
      </c>
      <c r="AN19" s="1097">
        <f t="shared" si="5"/>
        <v>0</v>
      </c>
      <c r="AO19" s="1097">
        <f t="shared" si="5"/>
        <v>0</v>
      </c>
      <c r="AP19" s="1097">
        <f>IF(ISNUMBER(((Datos!L19/Datos!K19)*11)/factor_trimestre),((Datos!L19/Datos!K19)*11)/factor_trimestre," - ")</f>
        <v>7.1990521327014214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-0.15789473684210525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-4.8939641109298535E-2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19.663841605003501</v>
      </c>
      <c r="AM21" s="869"/>
      <c r="AN21" s="869">
        <f>IF(ISNUMBER(STDEV(AN8:AN18)),STDEV(AN8:AN18),"-")</f>
        <v>0</v>
      </c>
      <c r="AO21" s="875">
        <f>IF(ISNUMBER(STDEV(AO8:AO18)),STDEV(AO8:AO18),"-")</f>
        <v>0</v>
      </c>
      <c r="AP21" s="922">
        <f>IF(ISNUMBER(STDEV(AP8:AP18)),STDEV(AP8:AP18),"-")</f>
        <v>7.013067111605074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j5Fcfy+x8IC5iqva80KOq1uHMURVdgLr6Pi2gTHykOn1kWH9VHyoJK11W9biFF6yY2rwKXTZP+b1CXiVts9UQ==" saltValue="Jp8UIODh7yvbNf85QqJk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OLIVENZA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0zfj38rVbZyRf4QWTsTr4EaXtSRndbl2vJPSY/a5qGrMdzyrKcVdosldKR/PGTTVJC6I6z+cbotlkdxz/dAXtQ==" saltValue="UTD34U0Y7+do/ldEejtE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OLIVENZA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34</v>
      </c>
      <c r="E12" s="415">
        <f t="shared" si="0"/>
        <v>34</v>
      </c>
      <c r="F12" s="414">
        <f>IF(ISNUMBER(Datos!N12),Datos!N12," - ")</f>
        <v>55</v>
      </c>
      <c r="G12" s="415">
        <f t="shared" si="1"/>
        <v>55</v>
      </c>
      <c r="H12" s="414">
        <f>IF(ISNUMBER(Datos!O12),Datos!O12," - ")</f>
        <v>89</v>
      </c>
      <c r="I12" s="415">
        <f t="shared" si="2"/>
        <v>89</v>
      </c>
    </row>
    <row r="13" spans="1:9" ht="14.25" thickTop="1" thickBot="1">
      <c r="A13" s="994" t="str">
        <f>Datos!A13</f>
        <v>TOTAL</v>
      </c>
      <c r="B13" s="995">
        <f>Datos!AO13</f>
        <v>2</v>
      </c>
      <c r="C13" s="997">
        <f>Datos!AR13</f>
        <v>1</v>
      </c>
      <c r="D13" s="995">
        <f>SUBTOTAL(9,D9:D12)</f>
        <v>36</v>
      </c>
      <c r="E13" s="996">
        <f t="shared" si="0"/>
        <v>18</v>
      </c>
      <c r="F13" s="995">
        <f>SUBTOTAL(9,F9:F12)</f>
        <v>56</v>
      </c>
      <c r="G13" s="996">
        <f t="shared" si="1"/>
        <v>28</v>
      </c>
      <c r="H13" s="995">
        <f>SUBTOTAL(9,H9:H12)</f>
        <v>89</v>
      </c>
      <c r="I13" s="996">
        <f>IF(ISNUMBER(H13/B13),H13/B13," - ")</f>
        <v>44.5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29</v>
      </c>
      <c r="E16" s="415">
        <f t="shared" si="3"/>
        <v>29</v>
      </c>
      <c r="F16" s="414">
        <f>IF(ISNUMBER(Datos!N16),Datos!N16," - ")</f>
        <v>159</v>
      </c>
      <c r="G16" s="415">
        <f t="shared" si="4"/>
        <v>159</v>
      </c>
      <c r="H16" s="414">
        <f>IF(ISNUMBER(Datos!O16),Datos!O16," - ")</f>
        <v>4</v>
      </c>
      <c r="I16" s="415">
        <f t="shared" si="5"/>
        <v>4</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2</v>
      </c>
      <c r="C18" s="997">
        <f>Datos!AR18</f>
        <v>1</v>
      </c>
      <c r="D18" s="995">
        <f>SUBTOTAL(9,D15:D17)</f>
        <v>35</v>
      </c>
      <c r="E18" s="996">
        <f t="shared" si="3"/>
        <v>17.5</v>
      </c>
      <c r="F18" s="995">
        <f>SUBTOTAL(9,F15:F17)</f>
        <v>175</v>
      </c>
      <c r="G18" s="996">
        <f t="shared" si="4"/>
        <v>87.5</v>
      </c>
      <c r="H18" s="995">
        <f>SUBTOTAL(9,H15:H17)</f>
        <v>4</v>
      </c>
      <c r="I18" s="996">
        <f>IF(ISNUMBER(H18/B18),H18/B18," - ")</f>
        <v>2</v>
      </c>
    </row>
    <row r="19" spans="1:9" ht="14.25" thickTop="1" thickBot="1">
      <c r="A19" s="939" t="str">
        <f>Datos!A19</f>
        <v>TOTAL JURISDICCIONES</v>
      </c>
      <c r="B19" s="940">
        <f>Datos!AP19</f>
        <v>1</v>
      </c>
      <c r="C19" s="940">
        <f>Datos!AR19</f>
        <v>1</v>
      </c>
      <c r="D19" s="940">
        <f>SUBTOTAL(9,D8:D18)</f>
        <v>71</v>
      </c>
      <c r="E19" s="941">
        <f>IF(ISNUMBER(D19/B19),D19/B19," - ")</f>
        <v>71</v>
      </c>
      <c r="F19" s="940">
        <f>SUBTOTAL(9,F8:F18)</f>
        <v>231</v>
      </c>
      <c r="G19" s="941">
        <f>IF(ISNUMBER(F19/B19),F19/B19," - ")</f>
        <v>231</v>
      </c>
      <c r="H19" s="940">
        <f>SUBTOTAL(9,H8:H18)</f>
        <v>93</v>
      </c>
      <c r="I19" s="941">
        <f>IF(ISNUMBER(H19/B19),H19/B19," - ")</f>
        <v>93</v>
      </c>
    </row>
    <row r="22" spans="1:9">
      <c r="A22" s="402" t="str">
        <f>Criterios!A4</f>
        <v>Fecha Informe: 29 nov. 2023</v>
      </c>
    </row>
    <row r="27" spans="1:9">
      <c r="A27" s="425"/>
    </row>
  </sheetData>
  <sheetProtection algorithmName="SHA-512" hashValue="Ce5WLaAOOR1yMJzMOEgQv+cF1vI3CCqdg07EL1snnzjB+E/qwjCEvpYZEToMc83uBl2GFG7gpi0XvxDdqNdHIw==" saltValue="bQrrP1JXMAvrfC+GvsA/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OLIVENZA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106</v>
      </c>
      <c r="D12" s="419">
        <f>IF(ISNUMBER(Datos!R12),Datos!R12," - ")</f>
        <v>1132</v>
      </c>
    </row>
    <row r="13" spans="1:4" ht="14.25" thickTop="1" thickBot="1">
      <c r="A13" s="994" t="str">
        <f>Datos!A13</f>
        <v>TOTAL</v>
      </c>
      <c r="B13" s="995">
        <f>SUBTOTAL(9,B9:B12)</f>
        <v>40</v>
      </c>
      <c r="C13" s="999">
        <f>SUBTOTAL(9,C9:C12)</f>
        <v>106</v>
      </c>
      <c r="D13" s="997">
        <f>SUBTOTAL(9,D9:D12)</f>
        <v>1132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6</v>
      </c>
      <c r="D16" s="419">
        <f>IF(ISNUMBER(Datos!R16),Datos!R16," - ")</f>
        <v>32</v>
      </c>
    </row>
    <row r="17" spans="1:4" ht="13.5" thickBot="1">
      <c r="A17" s="413" t="str">
        <f>Datos!A17</f>
        <v>Jdos. Violencia contra la mujer</v>
      </c>
      <c r="B17" s="449">
        <f>IF(ISNUMBER(Datos!P17),Datos!P17," - ")</f>
        <v>2</v>
      </c>
      <c r="C17" s="450">
        <f>IF(ISNUMBER(Datos!Q17),Datos!Q17," - ")</f>
        <v>0</v>
      </c>
      <c r="D17" s="419">
        <f>IF(ISNUMBER(Datos!R17),Datos!R17," - ")</f>
        <v>2</v>
      </c>
    </row>
    <row r="18" spans="1:4" ht="14.25" thickTop="1" thickBot="1">
      <c r="A18" s="994" t="str">
        <f>Datos!A18</f>
        <v>TOTAL</v>
      </c>
      <c r="B18" s="995">
        <f>SUBTOTAL(9,B15:B17)</f>
        <v>12</v>
      </c>
      <c r="C18" s="999">
        <f>SUBTOTAL(9,C15:C17)</f>
        <v>6</v>
      </c>
      <c r="D18" s="997">
        <f>SUBTOTAL(9,D15:D17)</f>
        <v>34</v>
      </c>
    </row>
    <row r="19" spans="1:4" ht="16.5" customHeight="1" thickTop="1" thickBot="1">
      <c r="A19" s="939" t="str">
        <f>Datos!A19</f>
        <v>TOTAL JURISDICCIONES</v>
      </c>
      <c r="B19" s="944">
        <f>SUBTOTAL(9,B8:B18)</f>
        <v>52</v>
      </c>
      <c r="C19" s="945">
        <f>SUBTOTAL(9,C8:C18)</f>
        <v>112</v>
      </c>
      <c r="D19" s="946">
        <f>SUBTOTAL(9,D8:D18)</f>
        <v>1166</v>
      </c>
    </row>
    <row r="20" spans="1:4" ht="7.5" customHeight="1"/>
    <row r="21" spans="1:4" ht="6" customHeight="1"/>
    <row r="22" spans="1:4">
      <c r="A22" s="402" t="str">
        <f>Criterios!A4</f>
        <v>Fecha Informe: 29 nov. 2023</v>
      </c>
    </row>
    <row r="27" spans="1:4">
      <c r="A27" s="425"/>
    </row>
  </sheetData>
  <sheetProtection algorithmName="SHA-512" hashValue="i8VB/BH46qVBEwZlj387gTyfiUAntklPGnz9b90gG33YZDaP94OiN6YxVXlr/XkiF/rm2Q/WLNhSrP4eKj2cAQ==" saltValue="7Z1cEuBrnvkc67zxM8cV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OLIVENZA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0.35714285714285715</v>
      </c>
      <c r="C10" s="472">
        <f>IF(ISNUMBER((Datos!J10-Datos!T10)/Datos!T10),(Datos!J10-Datos!T10)/Datos!T10," - ")</f>
        <v>0.25</v>
      </c>
      <c r="D10" s="472">
        <f>IF(ISNUMBER((Datos!K10-Datos!U10)/Datos!U10),(Datos!K10-Datos!U10)/Datos!U10," - ")</f>
        <v>0</v>
      </c>
      <c r="E10" s="472">
        <f>IF(ISNUMBER((Datos!L10-Datos!V10)/Datos!V10),(Datos!L10-Datos!V10)/Datos!V10," - ")</f>
        <v>0.4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-0.20000000000000004</v>
      </c>
      <c r="I10" s="472">
        <f>IF(ISNUMBER(((NºAsuntos!I10/NºAsuntos!G10)-Datos!BE10)/Datos!BE10),((NºAsuntos!I10/NºAsuntos!G10)-Datos!BE10)/Datos!BE10," - ")</f>
        <v>0.4</v>
      </c>
      <c r="J10" s="477">
        <f>IF(ISNUMBER((('Resol  Asuntos'!D10/NºAsuntos!G10)-Datos!BF10)/Datos!BF10),(('Resol  Asuntos'!D10/NºAsuntos!G10)-Datos!BF10)/Datos!BF10," - ")</f>
        <v>1</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0.18757327080890973</v>
      </c>
      <c r="C12" s="472">
        <f>IF(ISNUMBER(
   IF(J_V="SI",(Datos!J12-Datos!T12)/Datos!T12,(Datos!J12+Datos!Z12-(Datos!T12+Datos!AH12))/(Datos!T12+Datos!AH12))
     ),IF(J_V="SI",(Datos!J12-Datos!T12)/Datos!T12,(Datos!J12+Datos!Z12-(Datos!T12+Datos!AH12))/(Datos!T12+Datos!AH12))," - ")</f>
        <v>0.53017241379310343</v>
      </c>
      <c r="D12" s="472">
        <f>IF(ISNUMBER(
   IF(J_V="SI",(Datos!K12-Datos!U12)/Datos!U12,(Datos!K12+Datos!AA12-(Datos!U12+Datos!AI12))/(Datos!U12+Datos!AI12))
     ),IF(J_V="SI",(Datos!K12-Datos!U12)/Datos!U12,(Datos!K12+Datos!AA12-(Datos!U12+Datos!AI12))/(Datos!U12+Datos!AI12))," - ")</f>
        <v>-0.36521739130434783</v>
      </c>
      <c r="E12" s="472">
        <f>IF(ISNUMBER(
   IF(J_V="SI",(Datos!L12-Datos!V12)/Datos!V12,(Datos!L12+Datos!AB12-(Datos!V12+Datos!AJ12))/(Datos!V12+Datos!AJ12))
     ),IF(J_V="SI",(Datos!L12-Datos!V12)/Datos!V12,(Datos!L12+Datos!AB12-(Datos!V12+Datos!AJ12))/(Datos!V12+Datos!AJ12))," - ")</f>
        <v>0.42923976608187137</v>
      </c>
      <c r="F12" s="472">
        <f>IF(ISNUMBER((Datos!M12-Datos!W12)/Datos!W12),(Datos!M12-Datos!W12)/Datos!W12," - ")</f>
        <v>0.17241379310344829</v>
      </c>
      <c r="G12" s="473">
        <f>IF(ISNUMBER((Datos!N12-Datos!X12)/Datos!X12),(Datos!N12-Datos!X12)/Datos!X12," - ")</f>
        <v>-0.29487179487179488</v>
      </c>
      <c r="H12" s="471">
        <f>IF(ISNUMBER(((NºAsuntos!G12/NºAsuntos!E12)-Datos!BD12)/Datos!BD12),((NºAsuntos!G12/NºAsuntos!E12)-Datos!BD12)/Datos!BD12," - ")</f>
        <v>-0.58515615431720758</v>
      </c>
      <c r="I12" s="472">
        <f>IF(ISNUMBER(((NºAsuntos!I12/NºAsuntos!G12)-Datos!BE12)/Datos!BE12),((NºAsuntos!I12/NºAsuntos!G12)-Datos!BE12)/Datos!BE12," - ")</f>
        <v>1.2515420972522631</v>
      </c>
      <c r="J12" s="477">
        <f>IF(ISNUMBER((('Resol  Asuntos'!D12/NºAsuntos!G12)-Datos!BF12)/Datos!BF12),(('Resol  Asuntos'!D12/NºAsuntos!G12)-Datos!BF12)/Datos!BF12," - ")</f>
        <v>-0.31331225851773797</v>
      </c>
      <c r="K12" s="478">
        <f>IF(ISNUMBER((((NºAsuntos!C12+NºAsuntos!E12)/NºAsuntos!G12)-Datos!BG12)/Datos!BG12),(((NºAsuntos!C12+NºAsuntos!E12)/NºAsuntos!G12)-Datos!BG12)/Datos!BG12," - ")</f>
        <v>0.98623824253519343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0.19031141868512111</v>
      </c>
      <c r="C13" s="1001">
        <f>IF(ISNUMBER(
   IF(J_V="SI",(Datos!J13-Datos!T13)/Datos!T13,(Datos!J13+Datos!Z13-(Datos!T13+Datos!AH13))/(Datos!T13+Datos!AH13))
     ),IF(J_V="SI",(Datos!J13-Datos!T13)/Datos!T13,(Datos!J13+Datos!Z13-(Datos!T13+Datos!AH13))/(Datos!T13+Datos!AH13))," - ")</f>
        <v>0.52542372881355937</v>
      </c>
      <c r="D13" s="1001">
        <f>IF(ISNUMBER(
   IF(J_V="SI",(Datos!K13-Datos!U13)/Datos!U13,(Datos!K13+Datos!AA13-(Datos!U13+Datos!AI13))/(Datos!U13+Datos!AI13))
     ),IF(J_V="SI",(Datos!K13-Datos!U13)/Datos!U13,(Datos!K13+Datos!AA13-(Datos!U13+Datos!AI13))/(Datos!U13+Datos!AI13))," - ")</f>
        <v>-0.36051502145922748</v>
      </c>
      <c r="E13" s="1001">
        <f>IF(ISNUMBER(
   IF(J_V="SI",(Datos!L13-Datos!V13)/Datos!V13,(Datos!L13+Datos!AB13-(Datos!V13+Datos!AJ13))/(Datos!V13+Datos!AJ13))
     ),IF(J_V="SI",(Datos!L13-Datos!V13)/Datos!V13,(Datos!L13+Datos!AB13-(Datos!V13+Datos!AJ13))/(Datos!V13+Datos!AJ13))," - ")</f>
        <v>0.42873563218390803</v>
      </c>
      <c r="F13" s="1002">
        <f>IF(ISNUMBER((Datos!M13-Datos!W13)/Datos!W13),(Datos!M13-Datos!W13)/Datos!W13," - ")</f>
        <v>0.2</v>
      </c>
      <c r="G13" s="1003">
        <f>IF(ISNUMBER((Datos!N13-Datos!X13)/Datos!X13),(Datos!N13-Datos!X13)/Datos!X13," - ")</f>
        <v>-0.28205128205128205</v>
      </c>
      <c r="H13" s="1003">
        <f>IF(ISNUMBER(((NºAsuntos!G13/NºAsuntos!E13)-Datos!BD13)/Datos!BD13),((NºAsuntos!G13/NºAsuntos!E13)-Datos!BD13)/Datos!BD13," - ")</f>
        <v>-0.58078206962327139</v>
      </c>
      <c r="I13" s="1003">
        <f>IF(ISNUMBER(((NºAsuntos!I13/NºAsuntos!G13)-Datos!BE13)/Datos!BE13),((NºAsuntos!I13/NºAsuntos!G13)-Datos!BE13)/Datos!BE13," - ")</f>
        <v>1.2341973308647691</v>
      </c>
      <c r="J13" s="1003">
        <f>IF(ISNUMBER((('Resol  Asuntos'!D13/NºAsuntos!G13)-Datos!BF13)/Datos!BF13),(('Resol  Asuntos'!D13/NºAsuntos!G13)-Datos!BF13)/Datos!BF13," - ")</f>
        <v>-0.28740124033642001</v>
      </c>
      <c r="K13" s="1003">
        <f>IF(ISNUMBER((((NºAsuntos!C13+NºAsuntos!E13)/NºAsuntos!G13)-Datos!BG13)/Datos!BG13),(((NºAsuntos!C13+NºAsuntos!E13)/NºAsuntos!G13)-Datos!BG13)/Datos!BG13," - ")</f>
        <v>0.97348293549623666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1.0188679245283019</v>
      </c>
      <c r="C16" s="472">
        <f>IF(ISNUMBER(
   IF(D_I="SI",(Datos!J16-Datos!T16)/Datos!T16,(Datos!J16+Datos!AD16-(Datos!T16+Datos!AL16))/(Datos!T16+Datos!AL16))
     ),IF(D_I="SI",(Datos!J16-Datos!T16)/Datos!T16,(Datos!J16+Datos!AD16-(Datos!T16+Datos!AL16))/(Datos!T16+Datos!AL16))," - ")</f>
        <v>0.29473684210526313</v>
      </c>
      <c r="D16" s="472">
        <f>IF(ISNUMBER(
   IF(D_I="SI",(Datos!K16-Datos!U16)/Datos!U16,(Datos!K16+Datos!AE16-(Datos!U16+Datos!AM16))/(Datos!U16+Datos!AM16))
     ),IF(D_I="SI",(Datos!K16-Datos!U16)/Datos!U16,(Datos!K16+Datos!AE16-(Datos!U16+Datos!AM16))/(Datos!U16+Datos!AM16))," - ")</f>
        <v>0.76351351351351349</v>
      </c>
      <c r="E16" s="472">
        <f>IF(ISNUMBER(
   IF(D_I="SI",(Datos!L16-Datos!V16)/Datos!V16,(Datos!L16+Datos!AF16-(Datos!V16+Datos!AN16))/(Datos!V16+Datos!AN16))
     ),IF(D_I="SI",(Datos!L16-Datos!V16)/Datos!V16,(Datos!L16+Datos!AF16-(Datos!V16+Datos!AN16))/(Datos!V16+Datos!AN16))," - ")</f>
        <v>0.52238805970149249</v>
      </c>
      <c r="F16" s="472">
        <f>IF(ISNUMBER((Datos!M16-Datos!W16)/Datos!W16),(Datos!M16-Datos!W16)/Datos!W16," - ")</f>
        <v>0.61111111111111116</v>
      </c>
      <c r="G16" s="473">
        <f>IF(ISNUMBER((Datos!N16-Datos!X16)/Datos!X16),(Datos!N16-Datos!X16)/Datos!X16," - ")</f>
        <v>0.98750000000000004</v>
      </c>
      <c r="H16" s="471">
        <f>IF(ISNUMBER(((NºAsuntos!G16/NºAsuntos!E16)-Datos!BD16)/Datos!BD16),((NºAsuntos!G16/NºAsuntos!E16)-Datos!BD16)/Datos!BD16," - ")</f>
        <v>0.36206328279499023</v>
      </c>
      <c r="I16" s="472">
        <f>IF(ISNUMBER(((NºAsuntos!I16/NºAsuntos!G16)-Datos!BE16)/Datos!BE16),((NºAsuntos!I16/NºAsuntos!G16)-Datos!BE16)/Datos!BE16," - ")</f>
        <v>-0.13673014239149089</v>
      </c>
      <c r="J16" s="477">
        <f>IF(ISNUMBER((('Resol  Asuntos'!D16/NºAsuntos!G16)-Datos!BF16)/Datos!BF16),(('Resol  Asuntos'!D16/NºAsuntos!G16)-Datos!BF16)/Datos!BF16," - ")</f>
        <v>-8.6419753086419859E-2</v>
      </c>
      <c r="K16" s="478">
        <f>IF(ISNUMBER((((NºAsuntos!C16+NºAsuntos!E16)/NºAsuntos!G16)-Datos!BG16)/Datos!BG16),(((NºAsuntos!C16+NºAsuntos!E16)/NºAsuntos!G16)-Datos!BG16)/Datos!BG16," - ")</f>
        <v>-7.8747159371603453E-2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0.93333333333333335</v>
      </c>
      <c r="D17" s="472">
        <f>IF(ISNUMBER(
   IF(D_I="SI",(Datos!K17-Datos!U17)/Datos!U17,(Datos!K17+Datos!AE17-(Datos!U17+Datos!AM17))/(Datos!U17+Datos!AM17))
     ),IF(D_I="SI",(Datos!K17-Datos!U17)/Datos!U17,(Datos!K17+Datos!AE17-(Datos!U17+Datos!AM17))/(Datos!U17+Datos!AM17))," - ")</f>
        <v>0.53333333333333333</v>
      </c>
      <c r="E17" s="472">
        <f>IF(ISNUMBER(
   IF(D_I="SI",(Datos!L17-Datos!V17)/Datos!V17,(Datos!L17+Datos!AF17-(Datos!V17+Datos!AN17))/(Datos!V17+Datos!AN17))
     ),IF(D_I="SI",(Datos!L17-Datos!V17)/Datos!V17,(Datos!L17+Datos!AF17-(Datos!V17+Datos!AN17))/(Datos!V17+Datos!AN17))," - ")</f>
        <v>0.72727272727272729</v>
      </c>
      <c r="F17" s="472">
        <f>IF(ISNUMBER((Datos!M17-Datos!W17)/Datos!W17),(Datos!M17-Datos!W17)/Datos!W17," - ")</f>
        <v>0.5</v>
      </c>
      <c r="G17" s="473">
        <f>IF(ISNUMBER((Datos!N17-Datos!X17)/Datos!X17),(Datos!N17-Datos!X17)/Datos!X17," - ")</f>
        <v>0.6</v>
      </c>
      <c r="H17" s="471">
        <f>IF(ISNUMBER(((NºAsuntos!G17/NºAsuntos!E17)-Datos!BD17)/Datos!BD17),((NºAsuntos!G17/NºAsuntos!E17)-Datos!BD17)/Datos!BD17," - ")</f>
        <v>-0.2068965517241379</v>
      </c>
      <c r="I17" s="472">
        <f>IF(ISNUMBER(((NºAsuntos!I17/NºAsuntos!G17)-Datos!BE17)/Datos!BE17),((NºAsuntos!I17/NºAsuntos!G17)-Datos!BE17)/Datos!BE17," - ")</f>
        <v>0.12648221343873525</v>
      </c>
      <c r="J17" s="477">
        <f>IF(ISNUMBER((('Resol  Asuntos'!D17/NºAsuntos!G17)-Datos!BF17)/Datos!BF17),(('Resol  Asuntos'!D17/NºAsuntos!G17)-Datos!BF17)/Datos!BF17," - ")</f>
        <v>-2.1739130434782622E-2</v>
      </c>
      <c r="K17" s="478">
        <f>IF(ISNUMBER((((NºAsuntos!C17+NºAsuntos!E17)/NºAsuntos!G17)-Datos!BG17)/Datos!BG17),(((NºAsuntos!C17+NºAsuntos!E17)/NºAsuntos!G17)-Datos!BG17)/Datos!BG17," - ")</f>
        <v>5.3511705685618631E-2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0.96470588235294119</v>
      </c>
      <c r="C18" s="1001">
        <f>IF(ISNUMBER(
   IF(Criterios!B14="SI",(Datos!J18-Datos!T18)/Datos!T18,(Datos!J18+Datos!AD18-(Datos!T18+Datos!AL18))/(Datos!T18+Datos!AL18))
     ),IF(Criterios!B14="SI",(Datos!J18-Datos!T18)/Datos!T18,(Datos!J18+Datos!AD18-(Datos!T18+Datos!AL18))/(Datos!T18+Datos!AL18))," - ")</f>
        <v>0.34146341463414637</v>
      </c>
      <c r="D18" s="1001">
        <f>IF(ISNUMBER(
   IF(Criterios!B14="SI",(Datos!K18-Datos!U18)/Datos!U18,(Datos!K18+Datos!AE18-(Datos!U18+Datos!AM18))/(Datos!U18+Datos!AM18))
     ),IF(Criterios!B14="SI",(Datos!K18-Datos!U18)/Datos!U18,(Datos!K18+Datos!AE18-(Datos!U18+Datos!AM18))/(Datos!U18+Datos!AM18))," - ")</f>
        <v>0.74233128834355833</v>
      </c>
      <c r="E18" s="1001">
        <f>IF(ISNUMBER(
   IF(Criterios!B14="SI",(Datos!L18-Datos!V18)/Datos!V18,(Datos!L18+Datos!AF18-(Datos!V18+Datos!AN18))/(Datos!V18+Datos!AN18))
     ),IF(Criterios!B14="SI",(Datos!L18-Datos!V18)/Datos!V18,(Datos!L18+Datos!AF18-(Datos!V18+Datos!AN18))/(Datos!V18+Datos!AN18))," - ")</f>
        <v>0.53301886792452835</v>
      </c>
      <c r="F18" s="1002">
        <f>IF(ISNUMBER((Datos!M18-Datos!W18)/Datos!W18),(Datos!M18-Datos!W18)/Datos!W18," - ")</f>
        <v>0.59090909090909094</v>
      </c>
      <c r="G18" s="1003">
        <f>IF(ISNUMBER((Datos!N18-Datos!X18)/Datos!X18),(Datos!N18-Datos!X18)/Datos!X18," - ")</f>
        <v>0.94444444444444442</v>
      </c>
      <c r="H18" s="1003">
        <f>IF(ISNUMBER(((NºAsuntos!G18/NºAsuntos!E18)-Datos!BD18)/Datos!BD18),((NºAsuntos!G18/NºAsuntos!E18)-Datos!BD18)/Datos!BD18," - ")</f>
        <v>0.29882877858337975</v>
      </c>
      <c r="I18" s="1003">
        <f>IF(ISNUMBER(((NºAsuntos!I18/NºAsuntos!G18)-Datos!BE18)/Datos!BE18),((NºAsuntos!I18/NºAsuntos!G18)-Datos!BE18)/Datos!BE18," - ")</f>
        <v>-0.12013353707148561</v>
      </c>
      <c r="J18" s="1003">
        <f>IF(ISNUMBER((('Resol  Asuntos'!D18/NºAsuntos!G18)-Datos!BF18)/Datos!BF18),(('Resol  Asuntos'!D18/NºAsuntos!G18)-Datos!BF18)/Datos!BF18," - ")</f>
        <v>-8.6907810499359764E-2</v>
      </c>
      <c r="K18" s="1003">
        <f>IF(ISNUMBER((((NºAsuntos!C18+NºAsuntos!E18)/NºAsuntos!G18)-Datos!BG18)/Datos!BG18),(((NºAsuntos!C18+NºAsuntos!E18)/NºAsuntos!G18)-Datos!BG18)/Datos!BG18," - ")</f>
        <v>-6.7915492957746529E-2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0.3172613307618129</v>
      </c>
      <c r="C19" s="948">
        <f>IF(ISNUMBER(
   IF(J_V="SI",(Datos!J19-Datos!T19)/Datos!T19,(Datos!J19+Datos!Z19-(Datos!T19+Datos!AH19))/(Datos!T19+Datos!AH19))
     ),IF(J_V="SI",(Datos!J19-Datos!T19)/Datos!T19,(Datos!J19+Datos!Z19-(Datos!T19+Datos!AH19))/(Datos!T19+Datos!AH19))," - ")</f>
        <v>0.4399092970521542</v>
      </c>
      <c r="D19" s="948">
        <f>IF(ISNUMBER(
   IF(J_V="SI",(Datos!K19-Datos!U19)/Datos!U19,(Datos!K19+Datos!AA19-(Datos!U19+Datos!AI19))/(Datos!U19+Datos!AI19))
     ),IF(J_V="SI",(Datos!K19-Datos!U19)/Datos!U19,(Datos!K19+Datos!AA19-(Datos!U19+Datos!AI19))/(Datos!U19+Datos!AI19))," - ")</f>
        <v>9.3434343434343439E-2</v>
      </c>
      <c r="E19" s="948">
        <f>IF(ISNUMBER(
   IF(J_V="SI",(Datos!L19-Datos!V19)/Datos!V19,(Datos!L19+Datos!AB19-(Datos!V19+Datos!AJ19))/(Datos!V19+Datos!AJ19))
     ),IF(J_V="SI",(Datos!L19-Datos!V19)/Datos!V19,(Datos!L19+Datos!AB19-(Datos!V19+Datos!AJ19))/(Datos!V19+Datos!AJ19))," - ")</f>
        <v>0.4491682070240296</v>
      </c>
      <c r="F19" s="949">
        <f>IF(ISNUMBER((Datos!M19-Datos!W19)/Datos!W19),(Datos!M19-Datos!W19)/Datos!W19," - ")</f>
        <v>0.36538461538461536</v>
      </c>
      <c r="G19" s="950">
        <f>IF(ISNUMBER((Datos!N19-Datos!X19)/Datos!X19),(Datos!N19-Datos!X19)/Datos!X19," - ")</f>
        <v>0.375</v>
      </c>
      <c r="H19" s="951">
        <f>IF(ISNUMBER((Tasas!B19-Datos!BD19)/Datos!BD19),(Tasas!B19-Datos!BD19)/Datos!BD19," - ")</f>
        <v>-0.24062276306370792</v>
      </c>
      <c r="I19" s="952">
        <f>IF(ISNUMBER((Tasas!C19-Datos!BE19)/Datos!BE19),(Tasas!C19-Datos!BE19)/Datos!BE19," - ")</f>
        <v>0.32533628171250745</v>
      </c>
      <c r="J19" s="953">
        <f>IF(ISNUMBER((Tasas!D19-Datos!BF19)/Datos!BF19),(Tasas!D19-Datos!BF19)/Datos!BF19," - ")</f>
        <v>-0.35709875837468269</v>
      </c>
      <c r="K19" s="953">
        <f>IF(ISNUMBER((Tasas!E19-Datos!BG19)/Datos!BG19),(Tasas!E19-Datos!BG19)/Datos!BG19," - ")</f>
        <v>0.23816905061768126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z+t4wo9UjtVnIUbJDJAYMbNVeAMRPME4AKT6rXvP5qW17TC6BmBSys5uJSwiKu3dzGTjztVSei0K7ONbF6fTA==" saltValue="T7I26ihQf8ZuGXZIPfiM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OLIVENZA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7</v>
      </c>
      <c r="D10" s="460">
        <f>IF(ISNUMBER('Resol  Asuntos'!D10/NºAsuntos!G10),'Resol  Asuntos'!D10/NºAsuntos!G10," - ")</f>
        <v>0.66666666666666663</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0.41126760563380282</v>
      </c>
      <c r="C12" s="459">
        <f>IF(ISNUMBER(NºAsuntos!I12/NºAsuntos!G12),NºAsuntos!I12/NºAsuntos!G12," - ")</f>
        <v>8.3698630136986303</v>
      </c>
      <c r="D12" s="460">
        <f>IF(ISNUMBER('Resol  Asuntos'!D12/NºAsuntos!G12),'Resol  Asuntos'!D12/NºAsuntos!G12," - ")</f>
        <v>0.23287671232876711</v>
      </c>
      <c r="E12" s="461">
        <f>IF(ISNUMBER((NºAsuntos!C12+NºAsuntos!E12)/NºAsuntos!G12),(NºAsuntos!C12+NºAsuntos!E12)/NºAsuntos!G12," - ")</f>
        <v>9.3698630136986303</v>
      </c>
      <c r="G12" s="479"/>
    </row>
    <row r="13" spans="1:7" ht="14.25" thickTop="1" thickBot="1">
      <c r="A13" s="994" t="str">
        <f>Datos!A13</f>
        <v>TOTAL</v>
      </c>
      <c r="B13" s="1004">
        <f>IF(ISNUMBER(NºAsuntos!G13/NºAsuntos!E13),NºAsuntos!G13/NºAsuntos!E13," - ")</f>
        <v>0.41388888888888886</v>
      </c>
      <c r="C13" s="1005">
        <f>IF(ISNUMBER(NºAsuntos!I13/NºAsuntos!G13),NºAsuntos!I13/NºAsuntos!G13," - ")</f>
        <v>8.3422818791946316</v>
      </c>
      <c r="D13" s="1006">
        <f>IF(ISNUMBER('Resol  Asuntos'!D13/NºAsuntos!G13),'Resol  Asuntos'!D13/NºAsuntos!G13," - ")</f>
        <v>0.24161073825503357</v>
      </c>
      <c r="E13" s="1007">
        <f>IF(ISNUMBER((NºAsuntos!C13+NºAsuntos!E13)/NºAsuntos!G13),(NºAsuntos!C13+NºAsuntos!E13)/NºAsuntos!G13," - ")</f>
        <v>9.3422818791946316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1.0609756097560976</v>
      </c>
      <c r="C16" s="459">
        <f>IF(ISNUMBER(NºAsuntos!I16/NºAsuntos!G16),NºAsuntos!I16/NºAsuntos!G16," - ")</f>
        <v>1.1724137931034482</v>
      </c>
      <c r="D16" s="460">
        <f>IF(ISNUMBER('Resol  Asuntos'!D16/NºAsuntos!G16),'Resol  Asuntos'!D16/NºAsuntos!G16," - ")</f>
        <v>0.1111111111111111</v>
      </c>
      <c r="E16" s="461">
        <f>IF(ISNUMBER((NºAsuntos!C16+NºAsuntos!E16)/NºAsuntos!G16),(NºAsuntos!C16+NºAsuntos!E16)/NºAsuntos!G16," - ")</f>
        <v>2.1724137931034484</v>
      </c>
      <c r="G16" s="479"/>
    </row>
    <row r="17" spans="1:7" ht="13.5" thickBot="1">
      <c r="A17" s="413" t="str">
        <f>Datos!A17</f>
        <v>Jdos. Violencia contra la mujer</v>
      </c>
      <c r="B17" s="458">
        <f>IF(ISNUMBER(NºAsuntos!G17/NºAsuntos!E17),NºAsuntos!G17/NºAsuntos!E17," - ")</f>
        <v>0.7931034482758621</v>
      </c>
      <c r="C17" s="459">
        <f>IF(ISNUMBER(NºAsuntos!I17/NºAsuntos!G17),NºAsuntos!I17/NºAsuntos!G17," - ")</f>
        <v>0.82608695652173914</v>
      </c>
      <c r="D17" s="460">
        <f>IF(ISNUMBER('Resol  Asuntos'!D17/NºAsuntos!G17),'Resol  Asuntos'!D17/NºAsuntos!G17," - ")</f>
        <v>0.2608695652173913</v>
      </c>
      <c r="E17" s="461">
        <f>IF(ISNUMBER((NºAsuntos!C17+NºAsuntos!E17)/NºAsuntos!G17),(NºAsuntos!C17+NºAsuntos!E17)/NºAsuntos!G17," - ")</f>
        <v>1.826086956521739</v>
      </c>
      <c r="G17" s="479"/>
    </row>
    <row r="18" spans="1:7" ht="14.25" thickTop="1" thickBot="1">
      <c r="A18" s="994" t="str">
        <f>Datos!A18</f>
        <v>TOTAL</v>
      </c>
      <c r="B18" s="1004">
        <f>IF(ISNUMBER(NºAsuntos!G18/NºAsuntos!E18),NºAsuntos!G18/NºAsuntos!E18," - ")</f>
        <v>1.0327272727272727</v>
      </c>
      <c r="C18" s="1005">
        <f>IF(ISNUMBER(NºAsuntos!I18/NºAsuntos!G18),NºAsuntos!I18/NºAsuntos!G18," - ")</f>
        <v>1.1443661971830985</v>
      </c>
      <c r="D18" s="1008">
        <f>IF(ISNUMBER('Resol  Asuntos'!D18/NºAsuntos!G18),'Resol  Asuntos'!D18/NºAsuntos!G18," - ")</f>
        <v>0.12323943661971831</v>
      </c>
      <c r="E18" s="1007">
        <f>IF(ISNUMBER((NºAsuntos!C18+NºAsuntos!E18)/NºAsuntos!G18),(NºAsuntos!C18+NºAsuntos!E18)/NºAsuntos!G18," - ")</f>
        <v>2.1443661971830985</v>
      </c>
      <c r="G18" s="479"/>
    </row>
    <row r="19" spans="1:7" ht="15.75" customHeight="1" thickTop="1" thickBot="1">
      <c r="A19" s="939" t="str">
        <f>Datos!A19</f>
        <v>TOTAL JURISDICCIONES</v>
      </c>
      <c r="B19" s="954">
        <f>IF(ISNUMBER(NºAsuntos!G19/NºAsuntos!E19),NºAsuntos!G19/NºAsuntos!E19," - ")</f>
        <v>0.68188976377952759</v>
      </c>
      <c r="C19" s="955">
        <f>IF(ISNUMBER(NºAsuntos!I19/NºAsuntos!G19),NºAsuntos!I19/NºAsuntos!G19," - ")</f>
        <v>3.6212471131639723</v>
      </c>
      <c r="D19" s="956">
        <f>IF(ISNUMBER('Resol  Asuntos'!D19/NºAsuntos!G19),'Resol  Asuntos'!D19/NºAsuntos!G19," - ")</f>
        <v>0.16397228637413394</v>
      </c>
      <c r="E19" s="957">
        <f>IF(ISNUMBER((NºAsuntos!C19+NºAsuntos!E19)/NºAsuntos!G19),(NºAsuntos!C19+NºAsuntos!E19)/NºAsuntos!G19," - ")</f>
        <v>4.6212471131639719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yFvpEQE0IZVFAMyJK+i27VZCkuB+RsoNDYNTZ+r/+6wMm+13l64zzKWPMf3Apmzta7dj+Xy2gDq+Ql7pxYexg==" saltValue="aPLaMcAerYaJnY7gqrPb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OLIVENZA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21</v>
      </c>
      <c r="AB10" s="343">
        <f>IF(ISNUMBER(Datos!R10),Datos!R10," - ")</f>
        <v>0</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14</v>
      </c>
      <c r="AN10" s="248">
        <f>IF(ISNUMBER('Resol  Asuntos'!D10/NºAsuntos!G10),'Resol  Asuntos'!D10/NºAsuntos!G10," - ")</f>
        <v>0.66666666666666663</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106</v>
      </c>
      <c r="Y12" s="343">
        <f t="shared" si="0"/>
        <v>106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34</v>
      </c>
      <c r="AJ12" s="233" t="str">
        <f>IF(ISNUMBER(Datos!BW12),Datos!BW12," - ")</f>
        <v xml:space="preserve"> - </v>
      </c>
      <c r="AK12" s="232" t="str">
        <f>IF(ISNUMBER(Datos!BX12),Datos!BX12," - ")</f>
        <v xml:space="preserve"> - </v>
      </c>
      <c r="AL12" s="247">
        <f>IF(ISNUMBER(NºAsuntos!G12/NºAsuntos!E12),NºAsuntos!G12/NºAsuntos!E12," - ")</f>
        <v>0.41126760563380282</v>
      </c>
      <c r="AM12" s="264">
        <f>IF(ISNUMBER(((NºAsuntos!I12/NºAsuntos!G12)*11)/factor_trimestre),((NºAsuntos!I12/NºAsuntos!G12)*11)/factor_trimestre," - ")</f>
        <v>16.739726027397261</v>
      </c>
      <c r="AN12" s="248">
        <f>IF(ISNUMBER('Resol  Asuntos'!D12/NºAsuntos!G12),'Resol  Asuntos'!D12/NºAsuntos!G12," - ")</f>
        <v>0.23287671232876711</v>
      </c>
      <c r="AO12" s="249">
        <f>IF(ISNUMBER((NºAsuntos!C12+NºAsuntos!E12)/NºAsuntos!G12),(NºAsuntos!C12+NºAsuntos!E12)/NºAsuntos!G12," - ")</f>
        <v>9.3698630136986303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19</v>
      </c>
      <c r="G13" s="1012">
        <f t="shared" si="3"/>
        <v>19</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106</v>
      </c>
      <c r="Y13" s="1014">
        <f t="shared" si="4"/>
        <v>109</v>
      </c>
      <c r="Z13" s="1014">
        <f t="shared" si="4"/>
        <v>0</v>
      </c>
      <c r="AA13" s="1014">
        <f t="shared" si="4"/>
        <v>21</v>
      </c>
      <c r="AB13" s="1014">
        <f t="shared" si="4"/>
        <v>1132</v>
      </c>
      <c r="AC13" s="1014">
        <f t="shared" si="4"/>
        <v>21</v>
      </c>
      <c r="AD13" s="1014">
        <f t="shared" si="4"/>
        <v>0</v>
      </c>
      <c r="AE13" s="1018">
        <f t="shared" si="4"/>
        <v>0</v>
      </c>
      <c r="AF13" s="1011">
        <f t="shared" si="4"/>
        <v>0</v>
      </c>
      <c r="AG13" s="1019">
        <f t="shared" si="4"/>
        <v>0</v>
      </c>
      <c r="AH13" s="1016">
        <f t="shared" si="4"/>
        <v>0</v>
      </c>
      <c r="AI13" s="1011">
        <f t="shared" si="4"/>
        <v>36</v>
      </c>
      <c r="AJ13" s="1013">
        <f t="shared" si="4"/>
        <v>0</v>
      </c>
      <c r="AK13" s="1016">
        <f>SUBTOTAL(9,AK9:AK12)</f>
        <v>0</v>
      </c>
      <c r="AL13" s="1020">
        <f>IF(ISNUMBER(NºAsuntos!G13/NºAsuntos!E13),NºAsuntos!G13/NºAsuntos!E13," - ")</f>
        <v>0.41388888888888886</v>
      </c>
      <c r="AM13" s="1020">
        <f>IF(ISNUMBER(((NºAsuntos!I13/NºAsuntos!G13)*11)/factor_trimestre),((NºAsuntos!I13/NºAsuntos!G13)*11)/factor_trimestre," - ")</f>
        <v>16.684563758389263</v>
      </c>
      <c r="AN13" s="1021">
        <f>IF(ISNUMBER('Resol  Asuntos'!D13/NºAsuntos!G13),'Resol  Asuntos'!D13/NºAsuntos!G13," - ")</f>
        <v>0.24161073825503357</v>
      </c>
      <c r="AO13" s="1022">
        <f>IF(ISNUMBER((NºAsuntos!C13+NºAsuntos!E13)/NºAsuntos!G13),(NºAsuntos!C13+NºAsuntos!E13)/NºAsuntos!G13," - ")</f>
        <v>9.3422818791946316</v>
      </c>
      <c r="AP13" s="1023" t="str">
        <f t="shared" si="2"/>
        <v xml:space="preserve"> - </v>
      </c>
      <c r="AQ13" s="1023">
        <f>IF(ISNUMBER((H13-W13+K13)/(F13)),(H13-W13+K13)/(F13)," - ")</f>
        <v>-0.15789473684210525</v>
      </c>
      <c r="AR13" s="1024">
        <f>IF(ISNUMBER((Datos!P13-Datos!Q13)/(Datos!R13-Datos!P13+Datos!Q13)),(Datos!P13-Datos!Q13)/(Datos!R13-Datos!P13+Datos!Q13)," - ")</f>
        <v>-5.5091819699499167E-2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321</v>
      </c>
      <c r="G16" s="342">
        <f>IF(ISNUMBER(IF(D_I="SI",Datos!I16,Datos!I16+Datos!AC16)),IF(D_I="SI",Datos!I16,Datos!I16+Datos!AC16)," - ")</f>
        <v>321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261</v>
      </c>
      <c r="X16" s="230">
        <f>IF(ISNUMBER(Datos!Q16),Datos!Q16," - ")</f>
        <v>6</v>
      </c>
      <c r="Y16" s="343">
        <f t="shared" ref="Y16:Y17" si="7">SUM(W16:X16)</f>
        <v>267</v>
      </c>
      <c r="Z16" s="344" t="str">
        <f>IF(ISNUMBER(Datos!CC16),Datos!CC16," - ")</f>
        <v xml:space="preserve"> - </v>
      </c>
      <c r="AA16" s="341">
        <f>IF(ISNUMBER(IF(D_I="SI",Datos!L16,Datos!L16+Datos!AF16)),IF(D_I="SI",Datos!L16,Datos!L16+Datos!AF16)," - ")</f>
        <v>306</v>
      </c>
      <c r="AB16" s="343">
        <f>IF(ISNUMBER(Datos!R16),Datos!R16," - ")</f>
        <v>32</v>
      </c>
      <c r="AC16" s="343">
        <f t="shared" si="6"/>
        <v>338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29</v>
      </c>
      <c r="AJ16" s="235" t="str">
        <f>IF(ISNUMBER(Datos!BW16),Datos!BW16," - ")</f>
        <v xml:space="preserve"> - </v>
      </c>
      <c r="AK16" s="236" t="str">
        <f>IF(ISNUMBER(Datos!BX16),Datos!BX16," - ")</f>
        <v xml:space="preserve"> - </v>
      </c>
      <c r="AL16" s="247">
        <f>IF(ISNUMBER(NºAsuntos!G16/NºAsuntos!E16),NºAsuntos!G16/NºAsuntos!E16," - ")</f>
        <v>1.0609756097560976</v>
      </c>
      <c r="AM16" s="264">
        <f>IF(ISNUMBER(((NºAsuntos!I16/NºAsuntos!G16)*11)/factor_trimestre),((NºAsuntos!I16/NºAsuntos!G16)*11)/factor_trimestre," - ")</f>
        <v>2.3448275862068964</v>
      </c>
      <c r="AN16" s="248">
        <f>IF(ISNUMBER('Resol  Asuntos'!D16/NºAsuntos!G16),'Resol  Asuntos'!D16/NºAsuntos!G16," - ")</f>
        <v>0.1111111111111111</v>
      </c>
      <c r="AO16" s="249">
        <f>IF(ISNUMBER((NºAsuntos!C16+NºAsuntos!E16)/NºAsuntos!G16),(NºAsuntos!C16+NºAsuntos!E16)/NºAsuntos!G16," - ")</f>
        <v>2.1724137931034484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19</v>
      </c>
      <c r="AB17" s="343">
        <f>IF(ISNUMBER(Datos!R17),Datos!R17," - ")</f>
        <v>2</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0.7931034482758621</v>
      </c>
      <c r="AM17" s="264">
        <f>IF(ISNUMBER(((NºAsuntos!I17/NºAsuntos!G17)*11)/factor_trimestre),((NºAsuntos!I17/NºAsuntos!G17)*11)/factor_trimestre," - ")</f>
        <v>1.6521739130434783</v>
      </c>
      <c r="AN17" s="248">
        <f>IF(ISNUMBER('Resol  Asuntos'!D17/NºAsuntos!G17),'Resol  Asuntos'!D17/NºAsuntos!G17," - ")</f>
        <v>0.2608695652173913</v>
      </c>
      <c r="AO17" s="249">
        <f>IF(ISNUMBER((NºAsuntos!C17+NºAsuntos!E17)/NºAsuntos!G17),(NºAsuntos!C17+NºAsuntos!E17)/NºAsuntos!G17," - ")</f>
        <v>1.826086956521739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321</v>
      </c>
      <c r="G18" s="1012">
        <f>SUBTOTAL(9,G15:G17)</f>
        <v>334</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284</v>
      </c>
      <c r="X18" s="1013">
        <f t="shared" si="11"/>
        <v>6</v>
      </c>
      <c r="Y18" s="1014">
        <f t="shared" si="11"/>
        <v>290</v>
      </c>
      <c r="Z18" s="1014">
        <f t="shared" si="11"/>
        <v>0</v>
      </c>
      <c r="AA18" s="1014">
        <f t="shared" si="11"/>
        <v>325</v>
      </c>
      <c r="AB18" s="1014">
        <f t="shared" si="11"/>
        <v>34</v>
      </c>
      <c r="AC18" s="1014">
        <f t="shared" si="11"/>
        <v>359</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1.0327272727272727</v>
      </c>
      <c r="AM18" s="1020">
        <f>IF(ISNUMBER(((NºAsuntos!I18/NºAsuntos!G18)*11)/factor_trimestre),((NºAsuntos!I18/NºAsuntos!G18)*11)/factor_trimestre," - ")</f>
        <v>2.288732394366197</v>
      </c>
      <c r="AN18" s="1021">
        <f>IF(ISNUMBER('Resol  Asuntos'!D18/NºAsuntos!G18),'Resol  Asuntos'!D18/NºAsuntos!G18," - ")</f>
        <v>0.12323943661971831</v>
      </c>
      <c r="AO18" s="1022">
        <f>IF(ISNUMBER((NºAsuntos!C18+NºAsuntos!E18)/NºAsuntos!G18),(NºAsuntos!C18+NºAsuntos!E18)/NºAsuntos!G18," - ")</f>
        <v>2.1443661971830985</v>
      </c>
      <c r="AP18" s="1023" t="str">
        <f t="shared" si="2"/>
        <v xml:space="preserve"> - </v>
      </c>
      <c r="AQ18" s="1023">
        <f>IF(ISNUMBER((H18-W18+K18)/(F18)),(H18-W18+K18)/(F18)," - ")</f>
        <v>-0.88473520249221183</v>
      </c>
      <c r="AR18" s="1024">
        <f>IF(ISNUMBER((Datos!P18-Datos!Q18)/(Datos!R18-Datos!P18+Datos!Q18)),(Datos!P18-Datos!Q18)/(Datos!R18-Datos!P18+Datos!Q18)," - ")</f>
        <v>0.21428571428571427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340</v>
      </c>
      <c r="G19" s="967">
        <f t="shared" si="13"/>
        <v>353</v>
      </c>
      <c r="H19" s="966">
        <f t="shared" si="13"/>
        <v>0</v>
      </c>
      <c r="I19" s="968">
        <f t="shared" si="13"/>
        <v>0</v>
      </c>
      <c r="J19" s="968">
        <f t="shared" si="13"/>
        <v>0</v>
      </c>
      <c r="K19" s="1027">
        <f t="shared" si="13"/>
        <v>0</v>
      </c>
      <c r="L19" s="968">
        <f t="shared" si="13"/>
        <v>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287</v>
      </c>
      <c r="X19" s="967">
        <f t="shared" si="14"/>
        <v>112</v>
      </c>
      <c r="Y19" s="974">
        <f t="shared" si="14"/>
        <v>399</v>
      </c>
      <c r="Z19" s="974">
        <f t="shared" si="14"/>
        <v>0</v>
      </c>
      <c r="AA19" s="974">
        <f t="shared" si="14"/>
        <v>346</v>
      </c>
      <c r="AB19" s="974">
        <f t="shared" si="14"/>
        <v>1166</v>
      </c>
      <c r="AC19" s="974">
        <f t="shared" si="14"/>
        <v>380</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0.68188976377952759</v>
      </c>
      <c r="AM19" s="1031">
        <f>IF(ISNUMBER(((NºAsuntos!I19/NºAsuntos!G19)*11)/factor_trimestre),((NºAsuntos!I19/NºAsuntos!G19)*11)/factor_trimestre," - ")</f>
        <v>7.2424942263279455</v>
      </c>
      <c r="AN19" s="1031">
        <f>IF(ISNUMBER('Resol  Asuntos'!D19/NºAsuntos!G19),'Resol  Asuntos'!D19/NºAsuntos!G19," - ")</f>
        <v>0.16397228637413394</v>
      </c>
      <c r="AO19" s="1032">
        <f>IF(ISNUMBER((NºAsuntos!C19+NºAsuntos!E19)/NºAsuntos!G19),(NºAsuntos!C19+NºAsuntos!E19)/NºAsuntos!G19," - ")</f>
        <v>4.6212471131639719</v>
      </c>
      <c r="AP19" s="1033" t="str">
        <f t="shared" si="2"/>
        <v xml:space="preserve"> - </v>
      </c>
      <c r="AQ19" s="1034">
        <f>IF(OR(ISNUMBER(FIND("01",Criterios!A8,1)),ISNUMBER(FIND("02",Criterios!A8,1)),ISNUMBER(FIND("03",Criterios!A8,1)),ISNUMBER(FIND("04",Criterios!A8,1))),(I19-W19+K19)/(F19-K19),(H19-W19+K19)/(F19-K19))</f>
        <v>-0.84411764705882353</v>
      </c>
      <c r="AR19" s="1035">
        <f>IF(ISNUMBER((Datos!P19-Datos!Q19)/(Datos!R19-Datos!P19+Datos!Q19)),(Datos!P19-Datos!Q19)/(Datos!R19-Datos!P19+Datos!Q19)," - ")</f>
        <v>-4.8939641109298535E-2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141.19999999999999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174.35978129526697</v>
      </c>
      <c r="G21" s="257">
        <f>IF(ISNUMBER(STDEV(G8:G18)),STDEV(G8:G18),"-")</f>
        <v>170.14758299781988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144.42022019094142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15.4747105519511</v>
      </c>
      <c r="AJ21" s="256">
        <f t="shared" si="18"/>
        <v>0</v>
      </c>
      <c r="AK21" s="258">
        <f t="shared" si="18"/>
        <v>0</v>
      </c>
      <c r="AL21" s="253">
        <f t="shared" si="18"/>
        <v>0.29079744337012015</v>
      </c>
      <c r="AM21" s="254">
        <f t="shared" si="18"/>
        <v>7.5797736865169041</v>
      </c>
      <c r="AN21" s="254">
        <f t="shared" si="18"/>
        <v>0.20315095570896002</v>
      </c>
      <c r="AO21" s="255">
        <f t="shared" si="18"/>
        <v>3.7898868432584525</v>
      </c>
      <c r="AP21" s="295" t="str">
        <f t="shared" si="18"/>
        <v>-</v>
      </c>
      <c r="AQ21" s="296">
        <f t="shared" si="18"/>
        <v>0.51395382210197826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1aoB6qA2/k3Tz7gDpRg7MApojUF0KiMJzGIuJ9GRVrd5Jde1dwG2t0T94ompmyNv8hurPRQqYOV0ClHty4SOQ==" saltValue="PduxBFiqmKadtTg9+FRp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OLIVENZA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0.35714285714285715</v>
      </c>
      <c r="E10" s="357">
        <f>IF(ISNUMBER((Datos!J10-Datos!T10)/Datos!T10),(Datos!J10-Datos!T10)/Datos!T10," - ")</f>
        <v>0.25</v>
      </c>
      <c r="F10" s="357">
        <f>IF(ISNUMBER((Datos!K10-Datos!U10)/Datos!U10),(Datos!K10-Datos!U10)/Datos!U10," - ")</f>
        <v>0</v>
      </c>
      <c r="G10" s="358">
        <f>IF(ISNUMBER((Datos!L10-Datos!V10)/Datos!V10),(Datos!L10-Datos!V10)/Datos!V10," - ")</f>
        <v>0.4</v>
      </c>
      <c r="H10" s="234">
        <f>IF(ISNUMBER((Datos!M10-Datos!W10)/Datos!W10),(Datos!M10-Datos!W10)/Datos!W10," - ")</f>
        <v>1</v>
      </c>
      <c r="I10" s="359">
        <f>IF(ISNUMBER((Tasas!C10-Datos!BE10)/Datos!BE10),(Tasas!C10-Datos!BE10)/Datos!BE10," - ")</f>
        <v>0.4</v>
      </c>
      <c r="J10" s="358">
        <f>IF(ISNUMBER((Tasas!D10-Datos!BF10)/Datos!BF10),(Tasas!D10-Datos!BF10)/Datos!BF10," - ")</f>
        <v>1</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0.17241379310344829</v>
      </c>
      <c r="I12" s="359">
        <f>IF(ISNUMBER((Tasas!C12-Datos!BE12)/Datos!BE12),(Tasas!C12-Datos!BE12)/Datos!BE12," - ")</f>
        <v>1.2515420972522631</v>
      </c>
      <c r="J12" s="358">
        <f>IF(ISNUMBER((Tasas!D12-Datos!BF12)/Datos!BF12),(Tasas!D12-Datos!BF12)/Datos!BF12," - ")</f>
        <v>-0.31331225851773797</v>
      </c>
      <c r="K12" s="360">
        <f>IF(ISNUMBER((Tasas!E12-Datos!BG12)/Datos!BG12),(Tasas!E12-Datos!BG12)/Datos!BG12," - ")</f>
        <v>0.98623824253519343</v>
      </c>
      <c r="M12" t="e">
        <f>IF(Monitorios="SI",Datos!CE12,0)</f>
        <v>#REF!</v>
      </c>
      <c r="N12" t="e">
        <f>IF(Monitorios="SI",Datos!CF12,0)</f>
        <v>#REF!</v>
      </c>
      <c r="O12" t="e">
        <f>IF(Monitorios="SI",Datos!CG12,0)</f>
        <v>#REF!</v>
      </c>
      <c r="P12" t="e">
        <f>IF(Monitorios="SI",Datos!CH12,0)</f>
        <v>#REF!</v>
      </c>
      <c r="Q12">
        <f>IF(J_V="SI",0,Datos!AG12)</f>
        <v>63</v>
      </c>
      <c r="R12">
        <f>IF(J_V="SI",0,Datos!AH12)</f>
        <v>12</v>
      </c>
      <c r="S12">
        <f>IF(J_V="SI",0,Datos!AI12)</f>
        <v>16</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v>
      </c>
      <c r="I13" s="366">
        <f>IF(ISNUMBER((Tasas!C13-Datos!BE13)/Datos!BE13),(Tasas!C13-Datos!BE13)/Datos!BE13," - ")</f>
        <v>1.2341973308647691</v>
      </c>
      <c r="J13" s="364">
        <f>IF(ISNUMBER((Tasas!D13-Datos!BF13)/Datos!BF13),(Tasas!D13-Datos!BF13)/Datos!BF13," - ")</f>
        <v>-0.28740124033642001</v>
      </c>
      <c r="K13" s="367">
        <f>IF(ISNUMBER((Tasas!E13-Datos!BG13)/Datos!BG13),(Tasas!E13-Datos!BG13)/Datos!BG13," - ")</f>
        <v>0.97348293549623666</v>
      </c>
      <c r="M13" t="e">
        <f>IF(Monitorios="SI",Datos!CE13,0)</f>
        <v>#REF!</v>
      </c>
      <c r="N13" t="e">
        <f>IF(Monitorios="SI",Datos!CF13,0)</f>
        <v>#REF!</v>
      </c>
      <c r="O13" t="e">
        <f>IF(Monitorios="SI",Datos!CG13,0)</f>
        <v>#REF!</v>
      </c>
      <c r="P13" t="e">
        <f>IF(Monitorios="SI",Datos!CH13,0)</f>
        <v>#REF!</v>
      </c>
      <c r="Q13">
        <f>IF(J_V="SI",0,Datos!AG13)</f>
        <v>63</v>
      </c>
      <c r="R13">
        <f>IF(J_V="SI",0,Datos!AH13)</f>
        <v>12</v>
      </c>
      <c r="S13">
        <f>IF(J_V="SI",0,Datos!AI13)</f>
        <v>16</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1.0188679245283019</v>
      </c>
      <c r="E16" s="357">
        <f>IF(ISNUMBER(
   IF(D_I="SI",(Datos!J16-Datos!T16)/Datos!T16,(Datos!J16+Datos!AD16-(Datos!T16+Datos!AL16))/(Datos!T16+Datos!AL16))
     ),IF(D_I="SI",(Datos!J16-Datos!T16)/Datos!T16,(Datos!J16+Datos!AD16-(Datos!T16+Datos!AL16))/(Datos!T16+Datos!AL16))," - ")</f>
        <v>0.29473684210526313</v>
      </c>
      <c r="F16" s="357">
        <f>IF(ISNUMBER(
   IF(D_I="SI",(Datos!K16-Datos!U16)/Datos!U16,(Datos!K16+Datos!AE16-(Datos!U16+Datos!AM16))/(Datos!U16+Datos!AM16))
     ),IF(D_I="SI",(Datos!K16-Datos!U16)/Datos!U16,(Datos!K16+Datos!AE16-(Datos!U16+Datos!AM16))/(Datos!U16+Datos!AM16))," - ")</f>
        <v>0.76351351351351349</v>
      </c>
      <c r="G16" s="358">
        <f>IF(ISNUMBER(
   IF(D_I="SI",(Datos!L16-Datos!V16)/Datos!V16,(Datos!L16+Datos!AF16-(Datos!V16+Datos!AN16))/(Datos!V16+Datos!AN16))
     ),IF(D_I="SI",(Datos!L16-Datos!V16)/Datos!V16,(Datos!L16+Datos!AF16-(Datos!V16+Datos!AN16))/(Datos!V16+Datos!AN16))," - ")</f>
        <v>0.52238805970149249</v>
      </c>
      <c r="H16" s="234">
        <f>IF(ISNUMBER((Datos!M16-Datos!W16)/Datos!W16),(Datos!M16-Datos!W16)/Datos!W16," - ")</f>
        <v>0.61111111111111116</v>
      </c>
      <c r="I16" s="359">
        <f>IF(ISNUMBER((Tasas!C16-Datos!BE16)/Datos!BE16),(Tasas!C16-Datos!BE16)/Datos!BE16," - ")</f>
        <v>-0.13673014239149089</v>
      </c>
      <c r="J16" s="358">
        <f>IF(ISNUMBER((Tasas!D16-Datos!BF16)/Datos!BF16),(Tasas!D16-Datos!BF16)/Datos!BF16," - ")</f>
        <v>-8.6419753086419859E-2</v>
      </c>
      <c r="K16" s="360">
        <f>IF(ISNUMBER((Tasas!E16-Datos!BG16)/Datos!BG16),(Tasas!E16-Datos!BG16)/Datos!BG16," - ")</f>
        <v>-7.8747159371603453E-2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0.93333333333333335</v>
      </c>
      <c r="F17" s="357">
        <f>IF(ISNUMBER(
   IF(D_I="SI",(Datos!K17-Datos!U17)/Datos!U17,(Datos!K17+Datos!AE17-(Datos!U17+Datos!AM17))/(Datos!U17+Datos!AM17))
     ),IF(D_I="SI",(Datos!K17-Datos!U17)/Datos!U17,(Datos!K17+Datos!AE17-(Datos!U17+Datos!AM17))/(Datos!U17+Datos!AM17))," - ")</f>
        <v>0.53333333333333333</v>
      </c>
      <c r="G17" s="358">
        <f>IF(ISNUMBER(
   IF(D_I="SI",(Datos!L17-Datos!V17)/Datos!V17,(Datos!L17+Datos!AF17-(Datos!V17+Datos!AN17))/(Datos!V17+Datos!AN17))
     ),IF(D_I="SI",(Datos!L17-Datos!V17)/Datos!V17,(Datos!L17+Datos!AF17-(Datos!V17+Datos!AN17))/(Datos!V17+Datos!AN17))," - ")</f>
        <v>0.72727272727272729</v>
      </c>
      <c r="H17" s="234">
        <f>IF(ISNUMBER((Datos!M17-Datos!W17)/Datos!W17),(Datos!M17-Datos!W17)/Datos!W17," - ")</f>
        <v>0.5</v>
      </c>
      <c r="I17" s="359">
        <f>IF(ISNUMBER((Tasas!C17-Datos!BE17)/Datos!BE17),(Tasas!C17-Datos!BE17)/Datos!BE17," - ")</f>
        <v>0.12648221343873525</v>
      </c>
      <c r="J17" s="358">
        <f>IF(ISNUMBER((Tasas!D17-Datos!BF17)/Datos!BF17),(Tasas!D17-Datos!BF17)/Datos!BF17," - ")</f>
        <v>-2.1739130434782622E-2</v>
      </c>
      <c r="K17" s="360">
        <f>IF(ISNUMBER((Tasas!E17-Datos!BG17)/Datos!BG17),(Tasas!E17-Datos!BG17)/Datos!BG17," - ")</f>
        <v>5.3511705685618631E-2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0.96470588235294119</v>
      </c>
      <c r="E18" s="363">
        <f>IF(ISNUMBER(
   IF(D_I="SI",(Datos!J18-Datos!T18)/Datos!T18,(Datos!J18+Datos!AD18-(Datos!T18+Datos!AL18))/(Datos!T18+Datos!AL18))
     ),IF(D_I="SI",(Datos!J18-Datos!T18)/Datos!T18,(Datos!J18+Datos!AD18-(Datos!T18+Datos!AL18))/(Datos!T18+Datos!AL18))," - ")</f>
        <v>0.34146341463414637</v>
      </c>
      <c r="F18" s="363">
        <f>IF(ISNUMBER(
   IF(D_I="SI",(Datos!K18-Datos!U18)/Datos!U18,(Datos!K18+Datos!AE18-(Datos!U18+Datos!AM18))/(Datos!U18+Datos!AM18))
     ),IF(D_I="SI",(Datos!K18-Datos!U18)/Datos!U18,(Datos!K18+Datos!AE18-(Datos!U18+Datos!AM18))/(Datos!U18+Datos!AM18))," - ")</f>
        <v>0.74233128834355833</v>
      </c>
      <c r="G18" s="364">
        <f>IF(ISNUMBER(
   IF(D_I="SI",(Datos!L18-Datos!V18)/Datos!V18,(Datos!L18+Datos!AF18-(Datos!V18+Datos!AN18))/(Datos!V18+Datos!AN18))
     ),IF(D_I="SI",(Datos!L18-Datos!V18)/Datos!V18,(Datos!L18+Datos!AF18-(Datos!V18+Datos!AN18))/(Datos!V18+Datos!AN18))," - ")</f>
        <v>0.53301886792452835</v>
      </c>
      <c r="H18" s="365">
        <f>IF(ISNUMBER((Datos!M18-Datos!W18)/Datos!W18),(Datos!M18-Datos!W18)/Datos!W18," - ")</f>
        <v>0.59090909090909094</v>
      </c>
      <c r="I18" s="366">
        <f>IF(ISNUMBER((Tasas!C18-Datos!BE18)/Datos!BE18),(Tasas!C18-Datos!BE18)/Datos!BE18," - ")</f>
        <v>-0.12013353707148561</v>
      </c>
      <c r="J18" s="364">
        <f>IF(ISNUMBER((Tasas!D18-Datos!BF18)/Datos!BF18),(Tasas!D18-Datos!BF18)/Datos!BF18," - ")</f>
        <v>-8.6907810499359764E-2</v>
      </c>
      <c r="K18" s="367">
        <f>IF(ISNUMBER((Tasas!E18-Datos!BG18)/Datos!BG18),(Tasas!E18-Datos!BG18)/Datos!BG18," - ")</f>
        <v>-6.7915492957746529E-2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0.3172613307618129</v>
      </c>
      <c r="E19" s="372">
        <f>IF(ISNUMBER(
   IF(J_V="SI",(Datos!J19-Datos!T19)/Datos!T19,(Datos!J19+Datos!Z19-(Datos!T19+Datos!AH19))/(Datos!T19+Datos!AH19))
     ),IF(J_V="SI",(Datos!J19-Datos!T19)/Datos!T19,(Datos!J19+Datos!Z19-(Datos!T19+Datos!AH19))/(Datos!T19+Datos!AH19))," - ")</f>
        <v>0.4399092970521542</v>
      </c>
      <c r="F19" s="372">
        <f>IF(ISNUMBER(
   IF(J_V="SI",(Datos!K19-Datos!U19)/Datos!U19,(Datos!K19+Datos!AA19-(Datos!U19+Datos!AI19))/(Datos!U19+Datos!AI19))
     ),IF(J_V="SI",(Datos!K19-Datos!U19)/Datos!U19,(Datos!K19+Datos!AA19-(Datos!U19+Datos!AI19))/(Datos!U19+Datos!AI19))," - ")</f>
        <v>9.3434343434343439E-2</v>
      </c>
      <c r="G19" s="373">
        <f>IF(ISNUMBER(
   IF(J_V="SI",(Datos!L19-Datos!V19)/Datos!V19,(Datos!L19+Datos!AB19-(Datos!V19+Datos!AJ19))/(Datos!V19+Datos!AJ19))
     ),IF(J_V="SI",(Datos!L19-Datos!V19)/Datos!V19,(Datos!L19+Datos!AB19-(Datos!V19+Datos!AJ19))/(Datos!V19+Datos!AJ19))," - ")</f>
        <v>0.4491682070240296</v>
      </c>
      <c r="H19" s="374">
        <f>IF(ISNUMBER((Datos!M19-Datos!W19)/Datos!W19),(Datos!M19-Datos!W19)/Datos!W19," - ")</f>
        <v>0.36538461538461536</v>
      </c>
      <c r="I19" s="371">
        <f>IF(ISNUMBER((Tasas!C19-Datos!BE19)/Datos!BE19),(Tasas!C19-Datos!BE19)/Datos!BE19," - ")</f>
        <v>0.32533628171250745</v>
      </c>
      <c r="J19" s="372">
        <f>IF(ISNUMBER((Tasas!D19-Datos!BF19)/Datos!BF19),(Tasas!D19-Datos!BF19)/Datos!BF19," - ")</f>
        <v>-0.35709875837468269</v>
      </c>
      <c r="K19" s="373">
        <f>IF(ISNUMBER((Tasas!E19-Datos!BG19)/Datos!BG19),(Tasas!E19-Datos!BG19)/Datos!BG19," - ")</f>
        <v>0.23816905061768126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0.42369904673194342</v>
      </c>
      <c r="E21" s="282">
        <f t="shared" si="1"/>
        <v>0.32114511745115781</v>
      </c>
      <c r="F21" s="282">
        <f t="shared" si="1"/>
        <v>0.35538298808297275</v>
      </c>
      <c r="G21" s="283">
        <f t="shared" si="1"/>
        <v>0.1352792166098411</v>
      </c>
      <c r="H21" s="289">
        <f t="shared" si="1"/>
        <v>0.30561395959591103</v>
      </c>
      <c r="I21" s="281">
        <f t="shared" si="1"/>
        <v>0.63771352581667717</v>
      </c>
      <c r="J21" s="282">
        <f t="shared" si="1"/>
        <v>0.48771036904882836</v>
      </c>
      <c r="K21" s="283">
        <f t="shared" si="1"/>
        <v>0.49770014884034586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tgaxmRdjyY2P2V6Uj8Z6QsXKv66mdJQTYjUYnIc7CN9zyn08QYc8AX67ajyUOtlU3DsBo3IOJg32R/7M8QGqw==" saltValue="LLqCkI7woKViWOQlgfB6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